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d.docs.live.net/e1e340f102fae661/⑲仙台市水泳協会/仙台市水泳協会ＨＰ/pdf/"/>
    </mc:Choice>
  </mc:AlternateContent>
  <workbookProtection workbookPassword="DFE1" lockStructure="1"/>
  <bookViews>
    <workbookView xWindow="0" yWindow="0" windowWidth="20520" windowHeight="9728" activeTab="1"/>
  </bookViews>
  <sheets>
    <sheet name="申込注意事項" sheetId="13" r:id="rId1"/>
    <sheet name="個人種目申込書" sheetId="17" r:id="rId2"/>
    <sheet name="リレー申込書" sheetId="12" r:id="rId3"/>
  </sheets>
  <definedNames>
    <definedName name="_xlnm.Print_Area" localSheetId="1">個人種目申込書!$A$1:$P$139</definedName>
    <definedName name="_xlnm.Print_Titles" localSheetId="1">個人種目申込書!$A:$A,個人種目申込書!$13:$16</definedName>
  </definedNames>
  <calcPr calcId="152511"/>
</workbook>
</file>

<file path=xl/calcChain.xml><?xml version="1.0" encoding="utf-8"?>
<calcChain xmlns="http://schemas.openxmlformats.org/spreadsheetml/2006/main">
  <c r="G137" i="17" l="1"/>
  <c r="G134" i="17"/>
  <c r="G131" i="17"/>
  <c r="G128" i="17"/>
  <c r="G125" i="17"/>
  <c r="G122" i="17"/>
  <c r="G119" i="17"/>
  <c r="G116" i="17"/>
  <c r="G113" i="17"/>
  <c r="G110" i="17"/>
  <c r="G107" i="17"/>
  <c r="G104" i="17"/>
  <c r="G101" i="17"/>
  <c r="G98" i="17"/>
  <c r="G95" i="17"/>
  <c r="G92" i="17"/>
  <c r="G89" i="17"/>
  <c r="G86" i="17"/>
  <c r="G83" i="17"/>
  <c r="G80" i="17"/>
  <c r="G77" i="17"/>
  <c r="G74" i="17"/>
  <c r="G71" i="17"/>
  <c r="G68" i="17"/>
  <c r="G65" i="17"/>
  <c r="G62" i="17"/>
  <c r="G59" i="17"/>
  <c r="G56" i="17"/>
  <c r="G53" i="17"/>
  <c r="G50" i="17"/>
  <c r="G47" i="17"/>
  <c r="G44" i="17"/>
  <c r="G41" i="17"/>
  <c r="G38" i="17"/>
  <c r="G35" i="17"/>
  <c r="G32" i="17"/>
  <c r="G29" i="17"/>
  <c r="G26" i="17"/>
  <c r="G23" i="17"/>
  <c r="G20" i="17"/>
  <c r="G17" i="17" l="1"/>
  <c r="AQ138" i="17" l="1"/>
  <c r="AQ135" i="17"/>
  <c r="AQ132" i="17"/>
  <c r="AQ129" i="17"/>
  <c r="AQ126" i="17"/>
  <c r="AQ123" i="17"/>
  <c r="AQ120" i="17"/>
  <c r="AQ117" i="17"/>
  <c r="AQ114" i="17"/>
  <c r="AQ111" i="17"/>
  <c r="AQ108" i="17"/>
  <c r="AQ105" i="17"/>
  <c r="AQ102" i="17"/>
  <c r="AQ99" i="17"/>
  <c r="AQ96" i="17"/>
  <c r="AQ93" i="17"/>
  <c r="AQ90" i="17"/>
  <c r="AQ87" i="17"/>
  <c r="AQ84" i="17"/>
  <c r="AQ81" i="17"/>
  <c r="AQ78" i="17"/>
  <c r="AQ75" i="17"/>
  <c r="AQ72" i="17"/>
  <c r="AQ69" i="17"/>
  <c r="AQ66" i="17"/>
  <c r="AQ63" i="17"/>
  <c r="AQ60" i="17"/>
  <c r="AQ57" i="17"/>
  <c r="AQ54" i="17"/>
  <c r="AQ51" i="17"/>
  <c r="AQ48" i="17"/>
  <c r="AQ45" i="17"/>
  <c r="AQ42" i="17"/>
  <c r="AQ39" i="17"/>
  <c r="AQ36" i="17"/>
  <c r="AQ33" i="17"/>
  <c r="AQ30" i="17"/>
  <c r="AQ27" i="17"/>
  <c r="AQ24" i="17"/>
  <c r="AQ21" i="17"/>
  <c r="AQ137" i="17"/>
  <c r="AQ134" i="17"/>
  <c r="AQ131" i="17"/>
  <c r="AQ128" i="17"/>
  <c r="AQ125" i="17"/>
  <c r="AQ122" i="17"/>
  <c r="AQ119" i="17"/>
  <c r="AQ116" i="17"/>
  <c r="AQ113" i="17"/>
  <c r="AQ110" i="17"/>
  <c r="AQ107" i="17"/>
  <c r="AQ104" i="17"/>
  <c r="AQ101" i="17"/>
  <c r="AQ98" i="17"/>
  <c r="AQ95" i="17"/>
  <c r="AQ92" i="17"/>
  <c r="AQ89" i="17"/>
  <c r="AQ86" i="17"/>
  <c r="AQ83" i="17"/>
  <c r="AQ80" i="17"/>
  <c r="AQ77" i="17"/>
  <c r="AQ74" i="17"/>
  <c r="AQ71" i="17"/>
  <c r="AQ68" i="17"/>
  <c r="AQ65" i="17"/>
  <c r="AQ62" i="17"/>
  <c r="AQ59" i="17"/>
  <c r="AQ56" i="17"/>
  <c r="AQ53" i="17"/>
  <c r="AQ50" i="17"/>
  <c r="AQ47" i="17"/>
  <c r="AQ44" i="17"/>
  <c r="AQ41" i="17"/>
  <c r="AQ38" i="17"/>
  <c r="AQ35" i="17"/>
  <c r="AQ32" i="17"/>
  <c r="AQ29" i="17"/>
  <c r="AQ26" i="17"/>
  <c r="AQ23" i="17"/>
  <c r="AQ20" i="17"/>
  <c r="AP138" i="17"/>
  <c r="AP135" i="17"/>
  <c r="AP132" i="17"/>
  <c r="AP129" i="17"/>
  <c r="AP126" i="17"/>
  <c r="AP123" i="17"/>
  <c r="AP120" i="17"/>
  <c r="AP117" i="17"/>
  <c r="AP114" i="17"/>
  <c r="AP111" i="17"/>
  <c r="AP108" i="17"/>
  <c r="AP105" i="17"/>
  <c r="AP102" i="17"/>
  <c r="AP99" i="17"/>
  <c r="AP96" i="17"/>
  <c r="AP93" i="17"/>
  <c r="AP90" i="17"/>
  <c r="AP87" i="17"/>
  <c r="AP84" i="17"/>
  <c r="AP81" i="17"/>
  <c r="AP78" i="17"/>
  <c r="AP75" i="17"/>
  <c r="AP72" i="17"/>
  <c r="AP69" i="17"/>
  <c r="AP66" i="17"/>
  <c r="AP63" i="17"/>
  <c r="AP60" i="17"/>
  <c r="AP57" i="17"/>
  <c r="AP54" i="17"/>
  <c r="AP51" i="17"/>
  <c r="AP48" i="17"/>
  <c r="AP45" i="17"/>
  <c r="AP42" i="17"/>
  <c r="AP39" i="17"/>
  <c r="AP36" i="17"/>
  <c r="AP33" i="17"/>
  <c r="AP30" i="17"/>
  <c r="AP27" i="17"/>
  <c r="AP24" i="17"/>
  <c r="AP21" i="17"/>
  <c r="AP137" i="17"/>
  <c r="AP134" i="17"/>
  <c r="AP131" i="17"/>
  <c r="AP128" i="17"/>
  <c r="AP125" i="17"/>
  <c r="AP122" i="17"/>
  <c r="AP119" i="17"/>
  <c r="AP116" i="17"/>
  <c r="AP113" i="17"/>
  <c r="AP110" i="17"/>
  <c r="AP107" i="17"/>
  <c r="AP104" i="17"/>
  <c r="AP101" i="17"/>
  <c r="AP98" i="17"/>
  <c r="AP95" i="17"/>
  <c r="AP92" i="17"/>
  <c r="AP89" i="17"/>
  <c r="AP86" i="17"/>
  <c r="AP83" i="17"/>
  <c r="AP80" i="17"/>
  <c r="AP77" i="17"/>
  <c r="AP74" i="17"/>
  <c r="AP71" i="17"/>
  <c r="AP68" i="17"/>
  <c r="AP65" i="17"/>
  <c r="AP62" i="17"/>
  <c r="AP59" i="17"/>
  <c r="AP56" i="17"/>
  <c r="AP53" i="17"/>
  <c r="AP50" i="17"/>
  <c r="AP47" i="17"/>
  <c r="AP44" i="17"/>
  <c r="AP41" i="17"/>
  <c r="AP38" i="17"/>
  <c r="AP35" i="17"/>
  <c r="AP32" i="17"/>
  <c r="AP29" i="17"/>
  <c r="AP26" i="17"/>
  <c r="AP23" i="17"/>
  <c r="AP20" i="17"/>
  <c r="AO138" i="17"/>
  <c r="AO135" i="17"/>
  <c r="AO132" i="17"/>
  <c r="AO129" i="17"/>
  <c r="AO126" i="17"/>
  <c r="AO123" i="17"/>
  <c r="AO120" i="17"/>
  <c r="AO117" i="17"/>
  <c r="AO114" i="17"/>
  <c r="AO111" i="17"/>
  <c r="AO108" i="17"/>
  <c r="AO105" i="17"/>
  <c r="AO102" i="17"/>
  <c r="AO99" i="17"/>
  <c r="AO96" i="17"/>
  <c r="AO93" i="17"/>
  <c r="AO90" i="17"/>
  <c r="AO87" i="17"/>
  <c r="AO84" i="17"/>
  <c r="AO81" i="17"/>
  <c r="AO78" i="17"/>
  <c r="AO75" i="17"/>
  <c r="AO72" i="17"/>
  <c r="AO69" i="17"/>
  <c r="AO66" i="17"/>
  <c r="AO63" i="17"/>
  <c r="AO60" i="17"/>
  <c r="AO57" i="17"/>
  <c r="AO54" i="17"/>
  <c r="AO51" i="17"/>
  <c r="AO48" i="17"/>
  <c r="AO45" i="17"/>
  <c r="AO42" i="17"/>
  <c r="AO39" i="17"/>
  <c r="AO36" i="17"/>
  <c r="AO33" i="17"/>
  <c r="AO30" i="17"/>
  <c r="AO27" i="17"/>
  <c r="AO24" i="17"/>
  <c r="AO21" i="17"/>
  <c r="AO137" i="17"/>
  <c r="AO134" i="17"/>
  <c r="AO131" i="17"/>
  <c r="AO128" i="17"/>
  <c r="AO125" i="17"/>
  <c r="AO122" i="17"/>
  <c r="AO119" i="17"/>
  <c r="AO116" i="17"/>
  <c r="AO113" i="17"/>
  <c r="AO110" i="17"/>
  <c r="AO107" i="17"/>
  <c r="AO104" i="17"/>
  <c r="AO101" i="17"/>
  <c r="AO98" i="17"/>
  <c r="AO95" i="17"/>
  <c r="AO92" i="17"/>
  <c r="AO89" i="17"/>
  <c r="AO86" i="17"/>
  <c r="AO83" i="17"/>
  <c r="AO80" i="17"/>
  <c r="AO77" i="17"/>
  <c r="AO74" i="17"/>
  <c r="AO71" i="17"/>
  <c r="AO68" i="17"/>
  <c r="AO65" i="17"/>
  <c r="AO62" i="17"/>
  <c r="AO59" i="17"/>
  <c r="AO56" i="17"/>
  <c r="AO53" i="17"/>
  <c r="AO50" i="17"/>
  <c r="AO47" i="17"/>
  <c r="AO44" i="17"/>
  <c r="AO41" i="17"/>
  <c r="AO38" i="17"/>
  <c r="AO35" i="17"/>
  <c r="AO32" i="17"/>
  <c r="AO29" i="17"/>
  <c r="AO26" i="17"/>
  <c r="AO23" i="17"/>
  <c r="AO20" i="17"/>
  <c r="AN139" i="17"/>
  <c r="AN136" i="17"/>
  <c r="AN133" i="17"/>
  <c r="AN130" i="17"/>
  <c r="AN127" i="17"/>
  <c r="AN124" i="17"/>
  <c r="AN121" i="17"/>
  <c r="AN118" i="17"/>
  <c r="AN115" i="17"/>
  <c r="AN112" i="17"/>
  <c r="AN109" i="17"/>
  <c r="AN106" i="17"/>
  <c r="AN103" i="17"/>
  <c r="AN100" i="17"/>
  <c r="AN97" i="17"/>
  <c r="AN94" i="17"/>
  <c r="AN91" i="17"/>
  <c r="AN88" i="17"/>
  <c r="AN85" i="17"/>
  <c r="AN82" i="17"/>
  <c r="AN79" i="17"/>
  <c r="AN76" i="17"/>
  <c r="AN73" i="17"/>
  <c r="AN70" i="17"/>
  <c r="AN67" i="17"/>
  <c r="AN64" i="17"/>
  <c r="AN61" i="17"/>
  <c r="AN58" i="17"/>
  <c r="AN55" i="17"/>
  <c r="AN52" i="17"/>
  <c r="AN49" i="17"/>
  <c r="AN46" i="17"/>
  <c r="AN43" i="17"/>
  <c r="AN40" i="17"/>
  <c r="AN37" i="17"/>
  <c r="AN34" i="17"/>
  <c r="AN31" i="17"/>
  <c r="AN28" i="17"/>
  <c r="AN25" i="17"/>
  <c r="AN22" i="17"/>
  <c r="AN138" i="17"/>
  <c r="AN135" i="17"/>
  <c r="AN132" i="17"/>
  <c r="AN129" i="17"/>
  <c r="AN126" i="17"/>
  <c r="AN123" i="17"/>
  <c r="AN120" i="17"/>
  <c r="AN117" i="17"/>
  <c r="AN114" i="17"/>
  <c r="AN111" i="17"/>
  <c r="AN108" i="17"/>
  <c r="AN105" i="17"/>
  <c r="AN102" i="17"/>
  <c r="AN99" i="17"/>
  <c r="AN96" i="17"/>
  <c r="AN93" i="17"/>
  <c r="AN90" i="17"/>
  <c r="AN87" i="17"/>
  <c r="AN84" i="17"/>
  <c r="AN81" i="17"/>
  <c r="AN78" i="17"/>
  <c r="AN75" i="17"/>
  <c r="AN72" i="17"/>
  <c r="AN69" i="17"/>
  <c r="AN66" i="17"/>
  <c r="AN63" i="17"/>
  <c r="AN60" i="17"/>
  <c r="AN57" i="17"/>
  <c r="AN54" i="17"/>
  <c r="AN51" i="17"/>
  <c r="AN48" i="17"/>
  <c r="AN45" i="17"/>
  <c r="AN42" i="17"/>
  <c r="AN39" i="17"/>
  <c r="AN36" i="17"/>
  <c r="AN33" i="17"/>
  <c r="AN30" i="17"/>
  <c r="AN27" i="17"/>
  <c r="AN24" i="17"/>
  <c r="AN21" i="17"/>
  <c r="AM138" i="17"/>
  <c r="AM137" i="17" s="1"/>
  <c r="P137" i="17" s="1"/>
  <c r="AM135" i="17"/>
  <c r="AM134" i="17" s="1"/>
  <c r="P134" i="17" s="1"/>
  <c r="AM132" i="17"/>
  <c r="AM131" i="17" s="1"/>
  <c r="P131" i="17" s="1"/>
  <c r="AM129" i="17"/>
  <c r="AM128" i="17" s="1"/>
  <c r="P128" i="17" s="1"/>
  <c r="AM126" i="17"/>
  <c r="AM125" i="17" s="1"/>
  <c r="P125" i="17" s="1"/>
  <c r="AM123" i="17"/>
  <c r="AM122" i="17" s="1"/>
  <c r="P122" i="17" s="1"/>
  <c r="AM120" i="17"/>
  <c r="AM119" i="17" s="1"/>
  <c r="P119" i="17" s="1"/>
  <c r="AM117" i="17"/>
  <c r="AM116" i="17" s="1"/>
  <c r="P116" i="17" s="1"/>
  <c r="AM114" i="17"/>
  <c r="AM113" i="17" s="1"/>
  <c r="P113" i="17" s="1"/>
  <c r="AM111" i="17"/>
  <c r="AM110" i="17" s="1"/>
  <c r="P110" i="17" s="1"/>
  <c r="AM108" i="17"/>
  <c r="AM107" i="17" s="1"/>
  <c r="P107" i="17" s="1"/>
  <c r="AM105" i="17"/>
  <c r="AM104" i="17" s="1"/>
  <c r="P104" i="17" s="1"/>
  <c r="AM102" i="17"/>
  <c r="AM101" i="17" s="1"/>
  <c r="P101" i="17" s="1"/>
  <c r="AM99" i="17"/>
  <c r="AM98" i="17" s="1"/>
  <c r="P98" i="17" s="1"/>
  <c r="AM96" i="17"/>
  <c r="AM95" i="17" s="1"/>
  <c r="P95" i="17" s="1"/>
  <c r="AM93" i="17"/>
  <c r="AM92" i="17" s="1"/>
  <c r="P92" i="17" s="1"/>
  <c r="AM90" i="17"/>
  <c r="AM89" i="17" s="1"/>
  <c r="P89" i="17" s="1"/>
  <c r="AM87" i="17"/>
  <c r="AM86" i="17" s="1"/>
  <c r="P86" i="17" s="1"/>
  <c r="AM84" i="17"/>
  <c r="AM83" i="17" s="1"/>
  <c r="P83" i="17" s="1"/>
  <c r="AM81" i="17"/>
  <c r="AM80" i="17" s="1"/>
  <c r="P80" i="17" s="1"/>
  <c r="AM78" i="17"/>
  <c r="AM77" i="17" s="1"/>
  <c r="P77" i="17" s="1"/>
  <c r="AM75" i="17"/>
  <c r="AM72" i="17"/>
  <c r="AM71" i="17" s="1"/>
  <c r="P71" i="17" s="1"/>
  <c r="AM69" i="17"/>
  <c r="AM68" i="17" s="1"/>
  <c r="P68" i="17" s="1"/>
  <c r="AM66" i="17"/>
  <c r="AM65" i="17" s="1"/>
  <c r="P65" i="17" s="1"/>
  <c r="AM63" i="17"/>
  <c r="AM62" i="17" s="1"/>
  <c r="P62" i="17" s="1"/>
  <c r="AM60" i="17"/>
  <c r="AM59" i="17" s="1"/>
  <c r="P59" i="17" s="1"/>
  <c r="AM57" i="17"/>
  <c r="AM56" i="17" s="1"/>
  <c r="P56" i="17" s="1"/>
  <c r="AM54" i="17"/>
  <c r="AM53" i="17" s="1"/>
  <c r="P53" i="17" s="1"/>
  <c r="AM51" i="17"/>
  <c r="AM50" i="17" s="1"/>
  <c r="P50" i="17" s="1"/>
  <c r="AM48" i="17"/>
  <c r="AM47" i="17" s="1"/>
  <c r="P47" i="17" s="1"/>
  <c r="AM45" i="17"/>
  <c r="AM44" i="17" s="1"/>
  <c r="P44" i="17" s="1"/>
  <c r="AM42" i="17"/>
  <c r="AM41" i="17" s="1"/>
  <c r="P41" i="17" s="1"/>
  <c r="AM39" i="17"/>
  <c r="AM38" i="17" s="1"/>
  <c r="P38" i="17" s="1"/>
  <c r="AM36" i="17"/>
  <c r="AM35" i="17" s="1"/>
  <c r="P35" i="17" s="1"/>
  <c r="AM33" i="17"/>
  <c r="AM32" i="17" s="1"/>
  <c r="P32" i="17" s="1"/>
  <c r="AM30" i="17"/>
  <c r="AM29" i="17" s="1"/>
  <c r="P29" i="17" s="1"/>
  <c r="AM27" i="17"/>
  <c r="AM26" i="17" s="1"/>
  <c r="P26" i="17" s="1"/>
  <c r="AM24" i="17"/>
  <c r="AM23" i="17" s="1"/>
  <c r="P23" i="17" s="1"/>
  <c r="AJ138" i="17"/>
  <c r="AJ135" i="17"/>
  <c r="AJ132" i="17"/>
  <c r="AJ129" i="17"/>
  <c r="AJ126" i="17"/>
  <c r="AJ123" i="17"/>
  <c r="AJ120" i="17"/>
  <c r="AJ117" i="17"/>
  <c r="AJ114" i="17"/>
  <c r="AJ111" i="17"/>
  <c r="AJ108" i="17"/>
  <c r="AJ105" i="17"/>
  <c r="AJ102" i="17"/>
  <c r="AJ99" i="17"/>
  <c r="AJ96" i="17"/>
  <c r="AJ93" i="17"/>
  <c r="AJ90" i="17"/>
  <c r="AJ87" i="17"/>
  <c r="AJ84" i="17"/>
  <c r="AJ81" i="17"/>
  <c r="AJ78" i="17"/>
  <c r="AJ75" i="17"/>
  <c r="AJ72" i="17"/>
  <c r="AJ69" i="17"/>
  <c r="AJ66" i="17"/>
  <c r="AJ63" i="17"/>
  <c r="AJ60" i="17"/>
  <c r="AJ57" i="17"/>
  <c r="AJ54" i="17"/>
  <c r="AJ51" i="17"/>
  <c r="AJ48" i="17"/>
  <c r="AJ45" i="17"/>
  <c r="AJ42" i="17"/>
  <c r="AJ39" i="17"/>
  <c r="AJ36" i="17"/>
  <c r="AJ33" i="17"/>
  <c r="AJ30" i="17"/>
  <c r="AJ27" i="17"/>
  <c r="AJ24" i="17"/>
  <c r="AJ21" i="17"/>
  <c r="AJ137" i="17"/>
  <c r="AJ134" i="17"/>
  <c r="AJ131" i="17"/>
  <c r="AJ128" i="17"/>
  <c r="AJ125" i="17"/>
  <c r="AJ122" i="17"/>
  <c r="AJ119" i="17"/>
  <c r="AJ116" i="17"/>
  <c r="AJ113" i="17"/>
  <c r="AJ110" i="17"/>
  <c r="AJ107" i="17"/>
  <c r="AJ104" i="17"/>
  <c r="AJ101" i="17"/>
  <c r="AJ98" i="17"/>
  <c r="AJ95" i="17"/>
  <c r="AJ92" i="17"/>
  <c r="AJ89" i="17"/>
  <c r="AJ86" i="17"/>
  <c r="AJ83" i="17"/>
  <c r="AJ80" i="17"/>
  <c r="AJ77" i="17"/>
  <c r="AJ74" i="17"/>
  <c r="AJ71" i="17"/>
  <c r="AJ68" i="17"/>
  <c r="AJ65" i="17"/>
  <c r="AJ62" i="17"/>
  <c r="AJ59" i="17"/>
  <c r="AJ56" i="17"/>
  <c r="AJ53" i="17"/>
  <c r="AJ50" i="17"/>
  <c r="AJ47" i="17"/>
  <c r="AJ44" i="17"/>
  <c r="AJ41" i="17"/>
  <c r="AJ38" i="17"/>
  <c r="AJ35" i="17"/>
  <c r="AJ32" i="17"/>
  <c r="AJ29" i="17"/>
  <c r="AJ26" i="17"/>
  <c r="AJ23" i="17"/>
  <c r="AJ20" i="17"/>
  <c r="AI138" i="17"/>
  <c r="AI135" i="17"/>
  <c r="AI132" i="17"/>
  <c r="AI129" i="17"/>
  <c r="AI126" i="17"/>
  <c r="AI123" i="17"/>
  <c r="AI120" i="17"/>
  <c r="AI117" i="17"/>
  <c r="AI114" i="17"/>
  <c r="AI111" i="17"/>
  <c r="AI108" i="17"/>
  <c r="AI105" i="17"/>
  <c r="AI102" i="17"/>
  <c r="AI99" i="17"/>
  <c r="AI96" i="17"/>
  <c r="AI93" i="17"/>
  <c r="AI90" i="17"/>
  <c r="AI87" i="17"/>
  <c r="AI84" i="17"/>
  <c r="AI81" i="17"/>
  <c r="AI78" i="17"/>
  <c r="AI75" i="17"/>
  <c r="AI72" i="17"/>
  <c r="AI69" i="17"/>
  <c r="AI66" i="17"/>
  <c r="AI63" i="17"/>
  <c r="AI60" i="17"/>
  <c r="AI57" i="17"/>
  <c r="AI54" i="17"/>
  <c r="AI51" i="17"/>
  <c r="AI48" i="17"/>
  <c r="AI45" i="17"/>
  <c r="AI42" i="17"/>
  <c r="AI39" i="17"/>
  <c r="AI36" i="17"/>
  <c r="AI33" i="17"/>
  <c r="AI30" i="17"/>
  <c r="AI27" i="17"/>
  <c r="AI24" i="17"/>
  <c r="AI21" i="17"/>
  <c r="AI137" i="17"/>
  <c r="AI134" i="17"/>
  <c r="AI131" i="17"/>
  <c r="AI128" i="17"/>
  <c r="AF129" i="17" s="1"/>
  <c r="AP130" i="17" s="1"/>
  <c r="AI125" i="17"/>
  <c r="AI122" i="17"/>
  <c r="AI119" i="17"/>
  <c r="AI116" i="17"/>
  <c r="AI113" i="17"/>
  <c r="AF115" i="17" s="1"/>
  <c r="AI110" i="17"/>
  <c r="AI107" i="17"/>
  <c r="AI104" i="17"/>
  <c r="AI101" i="17"/>
  <c r="AI98" i="17"/>
  <c r="AI95" i="17"/>
  <c r="AI92" i="17"/>
  <c r="AI89" i="17"/>
  <c r="AI86" i="17"/>
  <c r="AF88" i="17" s="1"/>
  <c r="AI83" i="17"/>
  <c r="AI80" i="17"/>
  <c r="AI77" i="17"/>
  <c r="AI74" i="17"/>
  <c r="AI71" i="17"/>
  <c r="AI68" i="17"/>
  <c r="AI65" i="17"/>
  <c r="AI62" i="17"/>
  <c r="AI59" i="17"/>
  <c r="AI56" i="17"/>
  <c r="AI53" i="17"/>
  <c r="AI50" i="17"/>
  <c r="AI47" i="17"/>
  <c r="AI44" i="17"/>
  <c r="AI41" i="17"/>
  <c r="AI38" i="17"/>
  <c r="AI35" i="17"/>
  <c r="AI32" i="17"/>
  <c r="AF34" i="17" s="1"/>
  <c r="AI29" i="17"/>
  <c r="AI26" i="17"/>
  <c r="AI23" i="17"/>
  <c r="AI20" i="17"/>
  <c r="AH138" i="17"/>
  <c r="AH135" i="17"/>
  <c r="AH132" i="17"/>
  <c r="AH129" i="17"/>
  <c r="AH126" i="17"/>
  <c r="AH123" i="17"/>
  <c r="AH120" i="17"/>
  <c r="AH117" i="17"/>
  <c r="AH114" i="17"/>
  <c r="AH111" i="17"/>
  <c r="AH108" i="17"/>
  <c r="AH105" i="17"/>
  <c r="AH102" i="17"/>
  <c r="AH99" i="17"/>
  <c r="AH96" i="17"/>
  <c r="AH93" i="17"/>
  <c r="AH90" i="17"/>
  <c r="AH87" i="17"/>
  <c r="AH84" i="17"/>
  <c r="AH81" i="17"/>
  <c r="AH78" i="17"/>
  <c r="AH75" i="17"/>
  <c r="AF76" i="17" s="1"/>
  <c r="AH72" i="17"/>
  <c r="AH69" i="17"/>
  <c r="AH66" i="17"/>
  <c r="AH63" i="17"/>
  <c r="AH60" i="17"/>
  <c r="AH57" i="17"/>
  <c r="AH54" i="17"/>
  <c r="AH51" i="17"/>
  <c r="AH48" i="17"/>
  <c r="AH45" i="17"/>
  <c r="AH42" i="17"/>
  <c r="AH39" i="17"/>
  <c r="AH36" i="17"/>
  <c r="AH33" i="17"/>
  <c r="AH30" i="17"/>
  <c r="AH27" i="17"/>
  <c r="AH24" i="17"/>
  <c r="AH21" i="17"/>
  <c r="AH137" i="17"/>
  <c r="AH134" i="17"/>
  <c r="AH131" i="17"/>
  <c r="AH128" i="17"/>
  <c r="AH125" i="17"/>
  <c r="AH122" i="17"/>
  <c r="AH119" i="17"/>
  <c r="AH116" i="17"/>
  <c r="AH113" i="17"/>
  <c r="AH110" i="17"/>
  <c r="AH107" i="17"/>
  <c r="AH104" i="17"/>
  <c r="AH101" i="17"/>
  <c r="AF103" i="17" s="1"/>
  <c r="AH98" i="17"/>
  <c r="AF100" i="17" s="1"/>
  <c r="AH95" i="17"/>
  <c r="AH92" i="17"/>
  <c r="AF94" i="17" s="1"/>
  <c r="AH89" i="17"/>
  <c r="AH86" i="17"/>
  <c r="AH83" i="17"/>
  <c r="AH80" i="17"/>
  <c r="AH77" i="17"/>
  <c r="AH74" i="17"/>
  <c r="AH71" i="17"/>
  <c r="AF73" i="17" s="1"/>
  <c r="AH68" i="17"/>
  <c r="AH65" i="17"/>
  <c r="AH62" i="17"/>
  <c r="AH59" i="17"/>
  <c r="AF61" i="17" s="1"/>
  <c r="AH56" i="17"/>
  <c r="AH53" i="17"/>
  <c r="AH50" i="17"/>
  <c r="AH47" i="17"/>
  <c r="AH44" i="17"/>
  <c r="AH41" i="17"/>
  <c r="AH38" i="17"/>
  <c r="AH35" i="17"/>
  <c r="AH32" i="17"/>
  <c r="AH29" i="17"/>
  <c r="AH26" i="17"/>
  <c r="AF28" i="17" s="1"/>
  <c r="AH23" i="17"/>
  <c r="AF25" i="17" s="1"/>
  <c r="AH20" i="17"/>
  <c r="AF21" i="17" s="1"/>
  <c r="AP22" i="17" s="1"/>
  <c r="AG138" i="17"/>
  <c r="AG135" i="17"/>
  <c r="AG132" i="17"/>
  <c r="AG129" i="17"/>
  <c r="AG126" i="17"/>
  <c r="AG123" i="17"/>
  <c r="AG120" i="17"/>
  <c r="AG117" i="17"/>
  <c r="AG114" i="17"/>
  <c r="AG111" i="17"/>
  <c r="AG108" i="17"/>
  <c r="AF109" i="17" s="1"/>
  <c r="AG105" i="17"/>
  <c r="AG102" i="17"/>
  <c r="AG99" i="17"/>
  <c r="AG96" i="17"/>
  <c r="AG93" i="17"/>
  <c r="AG90" i="17"/>
  <c r="AG87" i="17"/>
  <c r="AG84" i="17"/>
  <c r="AG81" i="17"/>
  <c r="AF82" i="17" s="1"/>
  <c r="AG78" i="17"/>
  <c r="AG75" i="17"/>
  <c r="AG72" i="17"/>
  <c r="AG69" i="17"/>
  <c r="AG66" i="17"/>
  <c r="AG63" i="17"/>
  <c r="AG60" i="17"/>
  <c r="AG57" i="17"/>
  <c r="AG54" i="17"/>
  <c r="AG51" i="17"/>
  <c r="AG48" i="17"/>
  <c r="AG45" i="17"/>
  <c r="AG42" i="17"/>
  <c r="AG39" i="17"/>
  <c r="AG36" i="17"/>
  <c r="AG33" i="17"/>
  <c r="AG30" i="17"/>
  <c r="AG27" i="17"/>
  <c r="AG24" i="17"/>
  <c r="AG21" i="17"/>
  <c r="AG137" i="17"/>
  <c r="AG134" i="17"/>
  <c r="AG131" i="17"/>
  <c r="AG128" i="17"/>
  <c r="AG125" i="17"/>
  <c r="AF127" i="17" s="1"/>
  <c r="AG122" i="17"/>
  <c r="AG119" i="17"/>
  <c r="AG116" i="17"/>
  <c r="AG113" i="17"/>
  <c r="AG110" i="17"/>
  <c r="AF112" i="17" s="1"/>
  <c r="AG107" i="17"/>
  <c r="AG104" i="17"/>
  <c r="AG101" i="17"/>
  <c r="AG98" i="17"/>
  <c r="AG95" i="17"/>
  <c r="AF97" i="17" s="1"/>
  <c r="AG92" i="17"/>
  <c r="AG89" i="17"/>
  <c r="AF91" i="17" s="1"/>
  <c r="AG86" i="17"/>
  <c r="AG83" i="17"/>
  <c r="AG80" i="17"/>
  <c r="AG77" i="17"/>
  <c r="AG74" i="17"/>
  <c r="AG71" i="17"/>
  <c r="AG68" i="17"/>
  <c r="AF70" i="17" s="1"/>
  <c r="AG65" i="17"/>
  <c r="AF67" i="17" s="1"/>
  <c r="AG62" i="17"/>
  <c r="AG59" i="17"/>
  <c r="AG56" i="17"/>
  <c r="AG53" i="17"/>
  <c r="AG50" i="17"/>
  <c r="AG47" i="17"/>
  <c r="AF49" i="17" s="1"/>
  <c r="AG44" i="17"/>
  <c r="AF46" i="17" s="1"/>
  <c r="AG41" i="17"/>
  <c r="AF43" i="17" s="1"/>
  <c r="AG38" i="17"/>
  <c r="AG35" i="17"/>
  <c r="AG32" i="17"/>
  <c r="AG29" i="17"/>
  <c r="AG26" i="17"/>
  <c r="AG23" i="17"/>
  <c r="AG20" i="17"/>
  <c r="AF139" i="17"/>
  <c r="AF136" i="17"/>
  <c r="AF133" i="17"/>
  <c r="AF124" i="17"/>
  <c r="AF121" i="17"/>
  <c r="AF118" i="17"/>
  <c r="AF106" i="17"/>
  <c r="AF85" i="17"/>
  <c r="AF79" i="17"/>
  <c r="AF64" i="17"/>
  <c r="AF58" i="17"/>
  <c r="AF55" i="17"/>
  <c r="AF52" i="17"/>
  <c r="AF40" i="17"/>
  <c r="AF37" i="17"/>
  <c r="AF31" i="17"/>
  <c r="AF138" i="17"/>
  <c r="AF137" i="17" s="1"/>
  <c r="L137" i="17" s="1"/>
  <c r="AF135" i="17"/>
  <c r="AN134" i="17" s="1"/>
  <c r="AF132" i="17"/>
  <c r="AO133" i="17" s="1"/>
  <c r="AF126" i="17"/>
  <c r="AO127" i="17" s="1"/>
  <c r="AF123" i="17"/>
  <c r="AF122" i="17" s="1"/>
  <c r="L122" i="17" s="1"/>
  <c r="AF120" i="17"/>
  <c r="AN119" i="17" s="1"/>
  <c r="AF117" i="17"/>
  <c r="AP118" i="17" s="1"/>
  <c r="AF114" i="17"/>
  <c r="AP115" i="17" s="1"/>
  <c r="AF111" i="17"/>
  <c r="AN110" i="17" s="1"/>
  <c r="AF108" i="17"/>
  <c r="AO109" i="17" s="1"/>
  <c r="AF105" i="17"/>
  <c r="AP106" i="17" s="1"/>
  <c r="AF102" i="17"/>
  <c r="AO103" i="17" s="1"/>
  <c r="AF99" i="17"/>
  <c r="AP100" i="17" s="1"/>
  <c r="AF96" i="17"/>
  <c r="AN95" i="17" s="1"/>
  <c r="AF93" i="17"/>
  <c r="AP94" i="17" s="1"/>
  <c r="AF90" i="17"/>
  <c r="AP91" i="17" s="1"/>
  <c r="AF87" i="17"/>
  <c r="AN86" i="17" s="1"/>
  <c r="AF84" i="17"/>
  <c r="AO85" i="17" s="1"/>
  <c r="AF81" i="17"/>
  <c r="AP82" i="17" s="1"/>
  <c r="AF78" i="17"/>
  <c r="AO79" i="17" s="1"/>
  <c r="AF75" i="17"/>
  <c r="AP76" i="17" s="1"/>
  <c r="AF72" i="17"/>
  <c r="AN71" i="17" s="1"/>
  <c r="AF69" i="17"/>
  <c r="AP70" i="17" s="1"/>
  <c r="AF66" i="17"/>
  <c r="AP67" i="17" s="1"/>
  <c r="AF63" i="17"/>
  <c r="AN62" i="17" s="1"/>
  <c r="AF60" i="17"/>
  <c r="AO61" i="17" s="1"/>
  <c r="AF57" i="17"/>
  <c r="AP58" i="17" s="1"/>
  <c r="AF54" i="17"/>
  <c r="AO55" i="17" s="1"/>
  <c r="AF51" i="17"/>
  <c r="AP52" i="17" s="1"/>
  <c r="AF48" i="17"/>
  <c r="AN47" i="17" s="1"/>
  <c r="AF45" i="17"/>
  <c r="AP46" i="17" s="1"/>
  <c r="AF42" i="17"/>
  <c r="AP43" i="17" s="1"/>
  <c r="AF39" i="17"/>
  <c r="AN38" i="17" s="1"/>
  <c r="AF36" i="17"/>
  <c r="AO37" i="17" s="1"/>
  <c r="AF33" i="17"/>
  <c r="AP34" i="17" s="1"/>
  <c r="AF30" i="17"/>
  <c r="AO31" i="17" s="1"/>
  <c r="AF27" i="17"/>
  <c r="AP28" i="17" s="1"/>
  <c r="AF24" i="17"/>
  <c r="AF23" i="17" s="1"/>
  <c r="L23" i="17" s="1"/>
  <c r="Y138" i="17"/>
  <c r="Y135" i="17"/>
  <c r="Y132" i="17"/>
  <c r="Y129" i="17"/>
  <c r="Y126" i="17"/>
  <c r="Y123" i="17"/>
  <c r="Y120" i="17"/>
  <c r="Y117" i="17"/>
  <c r="Y114" i="17"/>
  <c r="Y111" i="17"/>
  <c r="Y108" i="17"/>
  <c r="Y105" i="17"/>
  <c r="Y102" i="17"/>
  <c r="Y99" i="17"/>
  <c r="Y96" i="17"/>
  <c r="Y93" i="17"/>
  <c r="Y90" i="17"/>
  <c r="Y87" i="17"/>
  <c r="Y84" i="17"/>
  <c r="Y81" i="17"/>
  <c r="Y78" i="17"/>
  <c r="Y75" i="17"/>
  <c r="Y72" i="17"/>
  <c r="Y69" i="17"/>
  <c r="Y66" i="17"/>
  <c r="Y63" i="17"/>
  <c r="Y60" i="17"/>
  <c r="Y57" i="17"/>
  <c r="Y54" i="17"/>
  <c r="Y51" i="17"/>
  <c r="Y48" i="17"/>
  <c r="Y45" i="17"/>
  <c r="Y42" i="17"/>
  <c r="Y39" i="17"/>
  <c r="Y36" i="17"/>
  <c r="Y33" i="17"/>
  <c r="Y30" i="17"/>
  <c r="Y27" i="17"/>
  <c r="Y24" i="17"/>
  <c r="Y21" i="17"/>
  <c r="V138" i="17"/>
  <c r="V135" i="17"/>
  <c r="V132" i="17"/>
  <c r="V129" i="17"/>
  <c r="V126" i="17"/>
  <c r="V123" i="17"/>
  <c r="V120" i="17"/>
  <c r="V117" i="17"/>
  <c r="V114" i="17"/>
  <c r="V111" i="17"/>
  <c r="V108" i="17"/>
  <c r="V105" i="17"/>
  <c r="V102" i="17"/>
  <c r="V99" i="17"/>
  <c r="V96" i="17"/>
  <c r="V93" i="17"/>
  <c r="V90" i="17"/>
  <c r="V87" i="17"/>
  <c r="V84" i="17"/>
  <c r="V81" i="17"/>
  <c r="V78" i="17"/>
  <c r="V75" i="17"/>
  <c r="V72" i="17"/>
  <c r="V69" i="17"/>
  <c r="V66" i="17"/>
  <c r="V63" i="17"/>
  <c r="V60" i="17"/>
  <c r="V57" i="17"/>
  <c r="V54" i="17"/>
  <c r="V51" i="17"/>
  <c r="V48" i="17"/>
  <c r="V45" i="17"/>
  <c r="V42" i="17"/>
  <c r="V39" i="17"/>
  <c r="V36" i="17"/>
  <c r="V33" i="17"/>
  <c r="V30" i="17"/>
  <c r="V27" i="17"/>
  <c r="V24" i="17"/>
  <c r="V21" i="17"/>
  <c r="V134" i="17"/>
  <c r="U139" i="17"/>
  <c r="U136" i="17"/>
  <c r="U133" i="17"/>
  <c r="U130" i="17"/>
  <c r="U127" i="17"/>
  <c r="U124" i="17"/>
  <c r="U121" i="17"/>
  <c r="U118" i="17"/>
  <c r="U115" i="17"/>
  <c r="U112" i="17"/>
  <c r="U109" i="17"/>
  <c r="U106" i="17"/>
  <c r="U103" i="17"/>
  <c r="U100" i="17"/>
  <c r="U97" i="17"/>
  <c r="U94" i="17"/>
  <c r="U91" i="17"/>
  <c r="U88" i="17"/>
  <c r="U85" i="17"/>
  <c r="U82" i="17"/>
  <c r="U79" i="17"/>
  <c r="U76" i="17"/>
  <c r="U73" i="17"/>
  <c r="U70" i="17"/>
  <c r="U67" i="17"/>
  <c r="U64" i="17"/>
  <c r="U61" i="17"/>
  <c r="U58" i="17"/>
  <c r="U55" i="17"/>
  <c r="U52" i="17"/>
  <c r="U49" i="17"/>
  <c r="U46" i="17"/>
  <c r="U43" i="17"/>
  <c r="U40" i="17"/>
  <c r="U37" i="17"/>
  <c r="U34" i="17"/>
  <c r="U31" i="17"/>
  <c r="U28" i="17"/>
  <c r="U25" i="17"/>
  <c r="U22" i="17"/>
  <c r="U138" i="17"/>
  <c r="U135" i="17"/>
  <c r="U132" i="17"/>
  <c r="U129" i="17"/>
  <c r="U126" i="17"/>
  <c r="U123" i="17"/>
  <c r="U120" i="17"/>
  <c r="U117" i="17"/>
  <c r="U114" i="17"/>
  <c r="U111" i="17"/>
  <c r="U108" i="17"/>
  <c r="U105" i="17"/>
  <c r="U102" i="17"/>
  <c r="U99" i="17"/>
  <c r="U96" i="17"/>
  <c r="U93" i="17"/>
  <c r="U90" i="17"/>
  <c r="U87" i="17"/>
  <c r="U84" i="17"/>
  <c r="U81" i="17"/>
  <c r="U78" i="17"/>
  <c r="U75" i="17"/>
  <c r="U72" i="17"/>
  <c r="U69" i="17"/>
  <c r="U66" i="17"/>
  <c r="U63" i="17"/>
  <c r="U60" i="17"/>
  <c r="U57" i="17"/>
  <c r="U54" i="17"/>
  <c r="U51" i="17"/>
  <c r="U48" i="17"/>
  <c r="U45" i="17"/>
  <c r="U42" i="17"/>
  <c r="U39" i="17"/>
  <c r="U36" i="17"/>
  <c r="U33" i="17"/>
  <c r="U30" i="17"/>
  <c r="U27" i="17"/>
  <c r="U24" i="17"/>
  <c r="U21" i="17"/>
  <c r="U137" i="17"/>
  <c r="U134" i="17"/>
  <c r="U131" i="17"/>
  <c r="U128" i="17"/>
  <c r="U125" i="17"/>
  <c r="U122" i="17"/>
  <c r="U119" i="17"/>
  <c r="U116" i="17"/>
  <c r="U113" i="17"/>
  <c r="U110" i="17"/>
  <c r="U107" i="17"/>
  <c r="U104" i="17"/>
  <c r="U101" i="17"/>
  <c r="U98" i="17"/>
  <c r="U95" i="17"/>
  <c r="U92" i="17"/>
  <c r="U89" i="17"/>
  <c r="U86" i="17"/>
  <c r="U83" i="17"/>
  <c r="U80" i="17"/>
  <c r="U77" i="17"/>
  <c r="U74" i="17"/>
  <c r="U71" i="17"/>
  <c r="U68" i="17"/>
  <c r="U65" i="17"/>
  <c r="U62" i="17"/>
  <c r="U59" i="17"/>
  <c r="U56" i="17"/>
  <c r="U53" i="17"/>
  <c r="U50" i="17"/>
  <c r="U47" i="17"/>
  <c r="U44" i="17"/>
  <c r="U41" i="17"/>
  <c r="U38" i="17"/>
  <c r="U35" i="17"/>
  <c r="U32" i="17"/>
  <c r="U29" i="17"/>
  <c r="U26" i="17"/>
  <c r="U23" i="17"/>
  <c r="U20" i="17"/>
  <c r="T139" i="17"/>
  <c r="T136" i="17"/>
  <c r="T133" i="17"/>
  <c r="T130" i="17"/>
  <c r="T127" i="17"/>
  <c r="T124" i="17"/>
  <c r="T121" i="17"/>
  <c r="T118" i="17"/>
  <c r="T115" i="17"/>
  <c r="T112" i="17"/>
  <c r="T109" i="17"/>
  <c r="T106" i="17"/>
  <c r="T103" i="17"/>
  <c r="T100" i="17"/>
  <c r="T97" i="17"/>
  <c r="T94" i="17"/>
  <c r="T91" i="17"/>
  <c r="T88" i="17"/>
  <c r="T85" i="17"/>
  <c r="T82" i="17"/>
  <c r="T79" i="17"/>
  <c r="T76" i="17"/>
  <c r="T73" i="17"/>
  <c r="T70" i="17"/>
  <c r="T67" i="17"/>
  <c r="T64" i="17"/>
  <c r="T61" i="17"/>
  <c r="T58" i="17"/>
  <c r="T55" i="17"/>
  <c r="T52" i="17"/>
  <c r="T49" i="17"/>
  <c r="T46" i="17"/>
  <c r="T43" i="17"/>
  <c r="T40" i="17"/>
  <c r="T37" i="17"/>
  <c r="T34" i="17"/>
  <c r="T31" i="17"/>
  <c r="T28" i="17"/>
  <c r="T25" i="17"/>
  <c r="T22" i="17"/>
  <c r="T138" i="17"/>
  <c r="T135" i="17"/>
  <c r="T132" i="17"/>
  <c r="T129" i="17"/>
  <c r="T126" i="17"/>
  <c r="T123" i="17"/>
  <c r="T120" i="17"/>
  <c r="T117" i="17"/>
  <c r="T114" i="17"/>
  <c r="T111" i="17"/>
  <c r="T108" i="17"/>
  <c r="T105" i="17"/>
  <c r="T102" i="17"/>
  <c r="T99" i="17"/>
  <c r="T96" i="17"/>
  <c r="T93" i="17"/>
  <c r="T90" i="17"/>
  <c r="T87" i="17"/>
  <c r="T84" i="17"/>
  <c r="T81" i="17"/>
  <c r="T78" i="17"/>
  <c r="T75" i="17"/>
  <c r="T72" i="17"/>
  <c r="T69" i="17"/>
  <c r="T66" i="17"/>
  <c r="T63" i="17"/>
  <c r="T60" i="17"/>
  <c r="T57" i="17"/>
  <c r="T54" i="17"/>
  <c r="T51" i="17"/>
  <c r="T48" i="17"/>
  <c r="T45" i="17"/>
  <c r="T42" i="17"/>
  <c r="T39" i="17"/>
  <c r="T36" i="17"/>
  <c r="T33" i="17"/>
  <c r="T30" i="17"/>
  <c r="T27" i="17"/>
  <c r="T24" i="17"/>
  <c r="T21" i="17"/>
  <c r="T137" i="17"/>
  <c r="T134" i="17"/>
  <c r="T131" i="17"/>
  <c r="T128" i="17"/>
  <c r="T125" i="17"/>
  <c r="T122" i="17"/>
  <c r="T119" i="17"/>
  <c r="T116" i="17"/>
  <c r="T113" i="17"/>
  <c r="T110" i="17"/>
  <c r="T107" i="17"/>
  <c r="T104" i="17"/>
  <c r="T101" i="17"/>
  <c r="T98" i="17"/>
  <c r="T95" i="17"/>
  <c r="T92" i="17"/>
  <c r="T89" i="17"/>
  <c r="T86" i="17"/>
  <c r="T83" i="17"/>
  <c r="T80" i="17"/>
  <c r="T77" i="17"/>
  <c r="T74" i="17"/>
  <c r="T71" i="17"/>
  <c r="T68" i="17"/>
  <c r="T65" i="17"/>
  <c r="T62" i="17"/>
  <c r="T59" i="17"/>
  <c r="T56" i="17"/>
  <c r="T53" i="17"/>
  <c r="T50" i="17"/>
  <c r="T47" i="17"/>
  <c r="T44" i="17"/>
  <c r="T41" i="17"/>
  <c r="T38" i="17"/>
  <c r="T35" i="17"/>
  <c r="T32" i="17"/>
  <c r="T29" i="17"/>
  <c r="T26" i="17"/>
  <c r="T23" i="17"/>
  <c r="T20" i="17"/>
  <c r="S135" i="17"/>
  <c r="S134" i="17" s="1"/>
  <c r="H134" i="17" s="1"/>
  <c r="AN19" i="17"/>
  <c r="AQ18" i="17"/>
  <c r="AP18" i="17"/>
  <c r="AO18" i="17"/>
  <c r="AQ17" i="17"/>
  <c r="AP17" i="17"/>
  <c r="AN18" i="17"/>
  <c r="AJ18" i="17"/>
  <c r="AI18" i="17"/>
  <c r="AH18" i="17"/>
  <c r="AJ17" i="17"/>
  <c r="AI17" i="17"/>
  <c r="AG18" i="17"/>
  <c r="U19" i="17"/>
  <c r="T19" i="17"/>
  <c r="T18" i="17"/>
  <c r="U18" i="17"/>
  <c r="V18" i="17"/>
  <c r="U17" i="17"/>
  <c r="T17" i="17"/>
  <c r="Y18" i="17"/>
  <c r="AN137" i="17" l="1"/>
  <c r="AM139" i="17" s="1"/>
  <c r="AO139" i="17"/>
  <c r="AP139" i="17"/>
  <c r="S136" i="17"/>
  <c r="AO136" i="17"/>
  <c r="AM136" i="17" s="1"/>
  <c r="AP136" i="17"/>
  <c r="AP133" i="17"/>
  <c r="AN131" i="17"/>
  <c r="AO130" i="17"/>
  <c r="AN128" i="17"/>
  <c r="AM130" i="17" s="1"/>
  <c r="AN125" i="17"/>
  <c r="AP127" i="17"/>
  <c r="AO124" i="17"/>
  <c r="AN122" i="17"/>
  <c r="AM124" i="17" s="1"/>
  <c r="AP124" i="17"/>
  <c r="AP121" i="17"/>
  <c r="AO121" i="17"/>
  <c r="AM121" i="17" s="1"/>
  <c r="AN116" i="17"/>
  <c r="AO118" i="17"/>
  <c r="AN113" i="17"/>
  <c r="AO115" i="17"/>
  <c r="AO112" i="17"/>
  <c r="AM112" i="17" s="1"/>
  <c r="AP112" i="17"/>
  <c r="AP109" i="17"/>
  <c r="AN107" i="17"/>
  <c r="AM109" i="17" s="1"/>
  <c r="AO106" i="17"/>
  <c r="AN104" i="17"/>
  <c r="AM106" i="17" s="1"/>
  <c r="AN101" i="17"/>
  <c r="AP103" i="17"/>
  <c r="AO100" i="17"/>
  <c r="AN98" i="17"/>
  <c r="AP97" i="17"/>
  <c r="AO97" i="17"/>
  <c r="AN92" i="17"/>
  <c r="AM94" i="17" s="1"/>
  <c r="AO94" i="17"/>
  <c r="AN89" i="17"/>
  <c r="AM91" i="17" s="1"/>
  <c r="AO91" i="17"/>
  <c r="AO88" i="17"/>
  <c r="AM88" i="17"/>
  <c r="AP88" i="17"/>
  <c r="AP85" i="17"/>
  <c r="AN83" i="17"/>
  <c r="AO82" i="17"/>
  <c r="AN80" i="17"/>
  <c r="AN77" i="17"/>
  <c r="AP79" i="17"/>
  <c r="AM79" i="17" s="1"/>
  <c r="AO76" i="17"/>
  <c r="AN74" i="17"/>
  <c r="AP73" i="17"/>
  <c r="AO73" i="17"/>
  <c r="AN68" i="17"/>
  <c r="AO70" i="17"/>
  <c r="AN65" i="17"/>
  <c r="AO67" i="17"/>
  <c r="AO64" i="17"/>
  <c r="AP64" i="17"/>
  <c r="AP61" i="17"/>
  <c r="AN59" i="17"/>
  <c r="AM61" i="17" s="1"/>
  <c r="AO58" i="17"/>
  <c r="AN56" i="17"/>
  <c r="AM58" i="17" s="1"/>
  <c r="AN53" i="17"/>
  <c r="AP55" i="17"/>
  <c r="AO52" i="17"/>
  <c r="AN50" i="17"/>
  <c r="AP49" i="17"/>
  <c r="AO49" i="17"/>
  <c r="AM49" i="17" s="1"/>
  <c r="AN44" i="17"/>
  <c r="AO46" i="17"/>
  <c r="AN41" i="17"/>
  <c r="AO43" i="17"/>
  <c r="AO40" i="17"/>
  <c r="AP40" i="17"/>
  <c r="AM40" i="17" s="1"/>
  <c r="AP37" i="17"/>
  <c r="AN35" i="17"/>
  <c r="AM37" i="17" s="1"/>
  <c r="AO34" i="17"/>
  <c r="AN32" i="17"/>
  <c r="AN29" i="17"/>
  <c r="AP31" i="17"/>
  <c r="AO28" i="17"/>
  <c r="AN26" i="17"/>
  <c r="AP25" i="17"/>
  <c r="AO25" i="17"/>
  <c r="AN23" i="17"/>
  <c r="AM25" i="17" s="1"/>
  <c r="AF22" i="17"/>
  <c r="AF20" i="17" s="1"/>
  <c r="L20" i="17" s="1"/>
  <c r="AN20" i="17"/>
  <c r="AM22" i="17" s="1"/>
  <c r="AO22" i="17"/>
  <c r="AM21" i="17" s="1"/>
  <c r="AM74" i="17"/>
  <c r="P74" i="17" s="1"/>
  <c r="AF110" i="17"/>
  <c r="L110" i="17" s="1"/>
  <c r="AF98" i="17"/>
  <c r="L98" i="17" s="1"/>
  <c r="AF62" i="17"/>
  <c r="L62" i="17" s="1"/>
  <c r="AF125" i="17"/>
  <c r="L125" i="17" s="1"/>
  <c r="AF119" i="17"/>
  <c r="L119" i="17" s="1"/>
  <c r="AF113" i="17"/>
  <c r="L113" i="17" s="1"/>
  <c r="AF107" i="17"/>
  <c r="L107" i="17" s="1"/>
  <c r="AF104" i="17"/>
  <c r="L104" i="17" s="1"/>
  <c r="AF101" i="17"/>
  <c r="L101" i="17" s="1"/>
  <c r="AF95" i="17"/>
  <c r="L95" i="17" s="1"/>
  <c r="AF89" i="17"/>
  <c r="L89" i="17" s="1"/>
  <c r="AF86" i="17"/>
  <c r="L86" i="17" s="1"/>
  <c r="AF80" i="17"/>
  <c r="L80" i="17" s="1"/>
  <c r="AF77" i="17"/>
  <c r="L77" i="17" s="1"/>
  <c r="AF74" i="17"/>
  <c r="L74" i="17" s="1"/>
  <c r="AF71" i="17"/>
  <c r="L71" i="17" s="1"/>
  <c r="AF65" i="17"/>
  <c r="L65" i="17" s="1"/>
  <c r="AF59" i="17"/>
  <c r="L59" i="17" s="1"/>
  <c r="AF56" i="17"/>
  <c r="L56" i="17" s="1"/>
  <c r="AF53" i="17"/>
  <c r="L53" i="17" s="1"/>
  <c r="AF50" i="17"/>
  <c r="L50" i="17" s="1"/>
  <c r="AF47" i="17"/>
  <c r="L47" i="17" s="1"/>
  <c r="AF41" i="17"/>
  <c r="L41" i="17" s="1"/>
  <c r="AF38" i="17"/>
  <c r="L38" i="17" s="1"/>
  <c r="AF35" i="17"/>
  <c r="L35" i="17" s="1"/>
  <c r="AF32" i="17"/>
  <c r="L32" i="17" s="1"/>
  <c r="AF29" i="17"/>
  <c r="L29" i="17" s="1"/>
  <c r="AF26" i="17"/>
  <c r="L26" i="17" s="1"/>
  <c r="AF134" i="17"/>
  <c r="L134" i="17" s="1"/>
  <c r="AF131" i="17"/>
  <c r="L131" i="17" s="1"/>
  <c r="AF130" i="17"/>
  <c r="AF128" i="17" s="1"/>
  <c r="L128" i="17" s="1"/>
  <c r="AF83" i="17"/>
  <c r="L83" i="17" s="1"/>
  <c r="AF116" i="17"/>
  <c r="L116" i="17" s="1"/>
  <c r="AF92" i="17"/>
  <c r="L92" i="17" s="1"/>
  <c r="AF68" i="17"/>
  <c r="L68" i="17" s="1"/>
  <c r="AF44" i="17"/>
  <c r="L44" i="17" s="1"/>
  <c r="AO17" i="17"/>
  <c r="AM133" i="17" l="1"/>
  <c r="AM127" i="17"/>
  <c r="AM118" i="17"/>
  <c r="AM115" i="17"/>
  <c r="AM103" i="17"/>
  <c r="AM100" i="17"/>
  <c r="AM97" i="17"/>
  <c r="AM85" i="17"/>
  <c r="AM82" i="17"/>
  <c r="AM76" i="17"/>
  <c r="AM73" i="17"/>
  <c r="AM70" i="17"/>
  <c r="AM67" i="17"/>
  <c r="AM64" i="17"/>
  <c r="AM55" i="17"/>
  <c r="AM52" i="17"/>
  <c r="AM46" i="17"/>
  <c r="AM43" i="17"/>
  <c r="AM34" i="17"/>
  <c r="AM31" i="17"/>
  <c r="AM28" i="17"/>
  <c r="AM20" i="17"/>
  <c r="P20" i="17" s="1"/>
  <c r="AH17" i="17"/>
  <c r="AG17" i="17"/>
  <c r="AF18" i="17" l="1"/>
  <c r="AN17" i="17" s="1"/>
  <c r="AO19" i="17" l="1"/>
  <c r="AP19" i="17"/>
  <c r="V20" i="17" l="1"/>
  <c r="AT20" i="17"/>
  <c r="AM18" i="17"/>
  <c r="AM19" i="17"/>
  <c r="B3" i="12"/>
  <c r="S22" i="17" l="1"/>
  <c r="S21" i="17"/>
  <c r="S20" i="17" s="1"/>
  <c r="H20" i="17" s="1"/>
  <c r="BJ137" i="17"/>
  <c r="BJ134" i="17"/>
  <c r="BJ131" i="17"/>
  <c r="BJ128" i="17"/>
  <c r="BJ125" i="17"/>
  <c r="BJ122" i="17"/>
  <c r="BJ119" i="17"/>
  <c r="BJ116" i="17"/>
  <c r="BJ113" i="17"/>
  <c r="BJ110" i="17"/>
  <c r="BJ107" i="17"/>
  <c r="BJ104" i="17"/>
  <c r="BJ101" i="17"/>
  <c r="BJ98" i="17"/>
  <c r="BJ95" i="17"/>
  <c r="BJ92" i="17"/>
  <c r="BJ89" i="17"/>
  <c r="BJ86" i="17"/>
  <c r="BJ83" i="17"/>
  <c r="BJ80" i="17"/>
  <c r="BJ77" i="17"/>
  <c r="BJ74" i="17"/>
  <c r="BJ71" i="17"/>
  <c r="BJ68" i="17"/>
  <c r="BJ65" i="17"/>
  <c r="BJ62" i="17"/>
  <c r="BJ59" i="17"/>
  <c r="BJ56" i="17"/>
  <c r="BJ53" i="17"/>
  <c r="BJ50" i="17"/>
  <c r="BJ47" i="17"/>
  <c r="BJ44" i="17"/>
  <c r="BJ41" i="17"/>
  <c r="BJ38" i="17"/>
  <c r="BL38" i="17" s="1"/>
  <c r="BJ35" i="17"/>
  <c r="BJ32" i="17"/>
  <c r="BJ29" i="17"/>
  <c r="BJ26" i="17"/>
  <c r="BJ23" i="17"/>
  <c r="BJ20" i="17"/>
  <c r="BI137" i="17"/>
  <c r="BI134" i="17"/>
  <c r="BI131" i="17"/>
  <c r="BI128" i="17"/>
  <c r="BI125" i="17"/>
  <c r="BI122" i="17"/>
  <c r="BI119" i="17"/>
  <c r="BI116" i="17"/>
  <c r="BI113" i="17"/>
  <c r="BI110" i="17"/>
  <c r="BI107" i="17"/>
  <c r="BI104" i="17"/>
  <c r="BI101" i="17"/>
  <c r="BI98" i="17"/>
  <c r="BI95" i="17"/>
  <c r="BI92" i="17"/>
  <c r="BI89" i="17"/>
  <c r="BI86" i="17"/>
  <c r="BL86" i="17" s="1"/>
  <c r="BI83" i="17"/>
  <c r="BI80" i="17"/>
  <c r="BI77" i="17"/>
  <c r="BI74" i="17"/>
  <c r="BI71" i="17"/>
  <c r="BI68" i="17"/>
  <c r="BI65" i="17"/>
  <c r="BI62" i="17"/>
  <c r="BI59" i="17"/>
  <c r="BI56" i="17"/>
  <c r="BI53" i="17"/>
  <c r="BI50" i="17"/>
  <c r="BI47" i="17"/>
  <c r="BI44" i="17"/>
  <c r="BI41" i="17"/>
  <c r="BI38" i="17"/>
  <c r="BI35" i="17"/>
  <c r="BI32" i="17"/>
  <c r="BI29" i="17"/>
  <c r="BI26" i="17"/>
  <c r="BI23" i="17"/>
  <c r="BI20" i="17"/>
  <c r="BH137" i="17"/>
  <c r="BH134" i="17"/>
  <c r="BH131" i="17"/>
  <c r="BH128" i="17"/>
  <c r="BH125" i="17"/>
  <c r="BH122" i="17"/>
  <c r="BK122" i="17" s="1"/>
  <c r="BH119" i="17"/>
  <c r="BH116" i="17"/>
  <c r="BH113" i="17"/>
  <c r="BH110" i="17"/>
  <c r="BK110" i="17" s="1"/>
  <c r="BH107" i="17"/>
  <c r="BH104" i="17"/>
  <c r="BH101" i="17"/>
  <c r="BH98" i="17"/>
  <c r="BH95" i="17"/>
  <c r="BH92" i="17"/>
  <c r="BH89" i="17"/>
  <c r="BH86" i="17"/>
  <c r="BH83" i="17"/>
  <c r="BH80" i="17"/>
  <c r="BH77" i="17"/>
  <c r="BH74" i="17"/>
  <c r="BH71" i="17"/>
  <c r="BH68" i="17"/>
  <c r="BH65" i="17"/>
  <c r="BH62" i="17"/>
  <c r="BH59" i="17"/>
  <c r="BH56" i="17"/>
  <c r="BH53" i="17"/>
  <c r="BH50" i="17"/>
  <c r="BH47" i="17"/>
  <c r="BH44" i="17"/>
  <c r="BH41" i="17"/>
  <c r="BH38" i="17"/>
  <c r="BH35" i="17"/>
  <c r="BH32" i="17"/>
  <c r="BH29" i="17"/>
  <c r="BH26" i="17"/>
  <c r="BH23" i="17"/>
  <c r="BH20" i="17"/>
  <c r="BG137" i="17"/>
  <c r="BG134" i="17"/>
  <c r="BG131" i="17"/>
  <c r="BG128" i="17"/>
  <c r="BG125" i="17"/>
  <c r="BG122" i="17"/>
  <c r="BG119" i="17"/>
  <c r="BG116" i="17"/>
  <c r="BG113" i="17"/>
  <c r="BG110" i="17"/>
  <c r="BG107" i="17"/>
  <c r="BG104" i="17"/>
  <c r="BG101" i="17"/>
  <c r="BG98" i="17"/>
  <c r="BG95" i="17"/>
  <c r="BG92" i="17"/>
  <c r="BG89" i="17"/>
  <c r="BG86" i="17"/>
  <c r="BG83" i="17"/>
  <c r="BG80" i="17"/>
  <c r="BG77" i="17"/>
  <c r="BG74" i="17"/>
  <c r="BG71" i="17"/>
  <c r="BG68" i="17"/>
  <c r="BG65" i="17"/>
  <c r="BG62" i="17"/>
  <c r="BG59" i="17"/>
  <c r="BG56" i="17"/>
  <c r="BG53" i="17"/>
  <c r="BG50" i="17"/>
  <c r="BG47" i="17"/>
  <c r="BG44" i="17"/>
  <c r="BG41" i="17"/>
  <c r="BG38" i="17"/>
  <c r="BG35" i="17"/>
  <c r="BG32" i="17"/>
  <c r="BG29" i="17"/>
  <c r="BG26" i="17"/>
  <c r="BK26" i="17" s="1"/>
  <c r="BG23" i="17"/>
  <c r="BG20" i="17"/>
  <c r="BF137" i="17"/>
  <c r="BK137" i="17" s="1"/>
  <c r="BF134" i="17"/>
  <c r="BK134" i="17" s="1"/>
  <c r="BF131" i="17"/>
  <c r="BF128" i="17"/>
  <c r="BL128" i="17" s="1"/>
  <c r="BF125" i="17"/>
  <c r="BK125" i="17" s="1"/>
  <c r="BF122" i="17"/>
  <c r="BF119" i="17"/>
  <c r="BF116" i="17"/>
  <c r="BF113" i="17"/>
  <c r="BL113" i="17" s="1"/>
  <c r="BF110" i="17"/>
  <c r="BF107" i="17"/>
  <c r="BF104" i="17"/>
  <c r="BF101" i="17"/>
  <c r="BK101" i="17" s="1"/>
  <c r="BF98" i="17"/>
  <c r="BF95" i="17"/>
  <c r="BF92" i="17"/>
  <c r="BF89" i="17"/>
  <c r="BL89" i="17" s="1"/>
  <c r="BF86" i="17"/>
  <c r="BF83" i="17"/>
  <c r="BF80" i="17"/>
  <c r="BF77" i="17"/>
  <c r="BF74" i="17"/>
  <c r="BF71" i="17"/>
  <c r="BF68" i="17"/>
  <c r="BF65" i="17"/>
  <c r="BF62" i="17"/>
  <c r="BF59" i="17"/>
  <c r="BF56" i="17"/>
  <c r="BF53" i="17"/>
  <c r="BF50" i="17"/>
  <c r="BF47" i="17"/>
  <c r="BL47" i="17" s="1"/>
  <c r="BF44" i="17"/>
  <c r="BL44" i="17" s="1"/>
  <c r="BF41" i="17"/>
  <c r="BK41" i="17" s="1"/>
  <c r="BF38" i="17"/>
  <c r="BF35" i="17"/>
  <c r="BF32" i="17"/>
  <c r="BF29" i="17"/>
  <c r="BF26" i="17"/>
  <c r="BF23" i="17"/>
  <c r="BF20" i="17"/>
  <c r="AJ48" i="12"/>
  <c r="AI48" i="12"/>
  <c r="AJ47" i="12"/>
  <c r="AI47" i="12"/>
  <c r="AJ46" i="12"/>
  <c r="AI46" i="12"/>
  <c r="AJ45" i="12"/>
  <c r="AI45" i="12"/>
  <c r="AJ44" i="12"/>
  <c r="AI44" i="12"/>
  <c r="AJ43" i="12"/>
  <c r="AI43" i="12"/>
  <c r="AJ42" i="12"/>
  <c r="AI42" i="12"/>
  <c r="AJ41" i="12"/>
  <c r="AI41" i="12"/>
  <c r="AJ40" i="12"/>
  <c r="AI40" i="12"/>
  <c r="AJ39" i="12"/>
  <c r="AI39" i="12"/>
  <c r="AJ38" i="12"/>
  <c r="AI38" i="12"/>
  <c r="AJ37" i="12"/>
  <c r="AI37" i="12"/>
  <c r="AJ36" i="12"/>
  <c r="AI36" i="12"/>
  <c r="AJ35" i="12"/>
  <c r="AI35" i="12"/>
  <c r="AJ34" i="12"/>
  <c r="AI34" i="12"/>
  <c r="AJ33" i="12"/>
  <c r="AI33" i="12"/>
  <c r="AJ32" i="12"/>
  <c r="AI32" i="12"/>
  <c r="AJ31" i="12"/>
  <c r="AI31" i="12"/>
  <c r="AJ30" i="12"/>
  <c r="AI30" i="12"/>
  <c r="AJ29" i="12"/>
  <c r="AI29" i="12"/>
  <c r="AJ28" i="12"/>
  <c r="AI28" i="12"/>
  <c r="AJ27" i="12"/>
  <c r="AI27" i="12"/>
  <c r="AJ26" i="12"/>
  <c r="AI26" i="12"/>
  <c r="AJ25" i="12"/>
  <c r="AI25" i="12"/>
  <c r="AJ24" i="12"/>
  <c r="AI24" i="12"/>
  <c r="AJ23" i="12"/>
  <c r="AI23" i="12"/>
  <c r="AJ22" i="12"/>
  <c r="AI22" i="12"/>
  <c r="AJ21" i="12"/>
  <c r="AI21" i="12"/>
  <c r="AJ20" i="12"/>
  <c r="AI20" i="12"/>
  <c r="AJ19" i="12"/>
  <c r="AI19" i="12"/>
  <c r="AJ18" i="12"/>
  <c r="AI18" i="12"/>
  <c r="AJ17" i="12"/>
  <c r="AI17" i="12"/>
  <c r="AJ16" i="12"/>
  <c r="AI16" i="12"/>
  <c r="AJ15" i="12"/>
  <c r="AI15" i="12"/>
  <c r="AJ14" i="12"/>
  <c r="AI14" i="12"/>
  <c r="AJ13" i="12"/>
  <c r="AI13" i="12"/>
  <c r="AJ12" i="12"/>
  <c r="AI12" i="12"/>
  <c r="AJ11" i="12"/>
  <c r="AI11" i="12"/>
  <c r="AJ10" i="12"/>
  <c r="AI10" i="12"/>
  <c r="AJ9" i="12"/>
  <c r="AI9" i="12"/>
  <c r="AT134" i="17"/>
  <c r="AK37" i="12"/>
  <c r="AK35" i="12"/>
  <c r="AK29" i="12"/>
  <c r="AK21" i="12"/>
  <c r="AK15" i="12"/>
  <c r="BJ17" i="17"/>
  <c r="BI17" i="17"/>
  <c r="BH17" i="17"/>
  <c r="BG17" i="17"/>
  <c r="BF17" i="17"/>
  <c r="N4" i="17"/>
  <c r="M4" i="17"/>
  <c r="N3" i="17"/>
  <c r="M3" i="17"/>
  <c r="I3" i="12"/>
  <c r="J3" i="12"/>
  <c r="I4" i="12"/>
  <c r="J4" i="12"/>
  <c r="I5" i="12"/>
  <c r="J5" i="12"/>
  <c r="AB9" i="12"/>
  <c r="AC9" i="12"/>
  <c r="AD9" i="12"/>
  <c r="AB10" i="12"/>
  <c r="AC10" i="12"/>
  <c r="AD10" i="12"/>
  <c r="AB11" i="12"/>
  <c r="AC11" i="12"/>
  <c r="AD11" i="12"/>
  <c r="AB12" i="12"/>
  <c r="AC12" i="12"/>
  <c r="AD12" i="12"/>
  <c r="AB13" i="12"/>
  <c r="AD13" i="12"/>
  <c r="AB14" i="12"/>
  <c r="AC14" i="12"/>
  <c r="AD14" i="12"/>
  <c r="AB15" i="12"/>
  <c r="AC15" i="12"/>
  <c r="AD15" i="12"/>
  <c r="AE15" i="12"/>
  <c r="AF15" i="12"/>
  <c r="L15" i="12" s="1"/>
  <c r="AB16" i="12"/>
  <c r="AC16" i="12"/>
  <c r="AD16" i="12"/>
  <c r="AE16" i="12"/>
  <c r="AF16" i="12"/>
  <c r="L16" i="12" s="1"/>
  <c r="AB17" i="12"/>
  <c r="AC17" i="12"/>
  <c r="AD17" i="12"/>
  <c r="AE17" i="12"/>
  <c r="AF17" i="12"/>
  <c r="L17" i="12" s="1"/>
  <c r="AB18" i="12"/>
  <c r="AC18" i="12"/>
  <c r="AD18" i="12"/>
  <c r="AE18" i="12"/>
  <c r="AF18" i="12"/>
  <c r="L18" i="12" s="1"/>
  <c r="AB19" i="12"/>
  <c r="AC19" i="12"/>
  <c r="AD19" i="12"/>
  <c r="AE19" i="12"/>
  <c r="AF19" i="12"/>
  <c r="L19" i="12" s="1"/>
  <c r="AB20" i="12"/>
  <c r="AC20" i="12"/>
  <c r="AD20" i="12"/>
  <c r="AE20" i="12"/>
  <c r="AF20" i="12"/>
  <c r="L20" i="12" s="1"/>
  <c r="AB21" i="12"/>
  <c r="AC21" i="12"/>
  <c r="AD21" i="12"/>
  <c r="AE21" i="12"/>
  <c r="AF21" i="12"/>
  <c r="L21" i="12" s="1"/>
  <c r="AB22" i="12"/>
  <c r="AC22" i="12"/>
  <c r="AD22" i="12"/>
  <c r="AE22" i="12"/>
  <c r="AF22" i="12"/>
  <c r="L22" i="12" s="1"/>
  <c r="AB23" i="12"/>
  <c r="AC23" i="12"/>
  <c r="AD23" i="12"/>
  <c r="AE23" i="12"/>
  <c r="AF23" i="12"/>
  <c r="L23" i="12" s="1"/>
  <c r="AB24" i="12"/>
  <c r="AC24" i="12"/>
  <c r="AD24" i="12"/>
  <c r="AE24" i="12"/>
  <c r="AF24" i="12"/>
  <c r="L24" i="12" s="1"/>
  <c r="AB25" i="12"/>
  <c r="AC25" i="12"/>
  <c r="AD25" i="12"/>
  <c r="AE25" i="12"/>
  <c r="AF25" i="12"/>
  <c r="L25" i="12" s="1"/>
  <c r="AB26" i="12"/>
  <c r="AC26" i="12"/>
  <c r="AD26" i="12"/>
  <c r="AE26" i="12"/>
  <c r="AF26" i="12"/>
  <c r="L26" i="12" s="1"/>
  <c r="AB27" i="12"/>
  <c r="AC27" i="12"/>
  <c r="AD27" i="12"/>
  <c r="AE27" i="12"/>
  <c r="AF27" i="12"/>
  <c r="L27" i="12" s="1"/>
  <c r="AB28" i="12"/>
  <c r="AC28" i="12"/>
  <c r="AD28" i="12"/>
  <c r="AE28" i="12"/>
  <c r="AF28" i="12"/>
  <c r="L28" i="12" s="1"/>
  <c r="AB29" i="12"/>
  <c r="AC29" i="12"/>
  <c r="AD29" i="12"/>
  <c r="AE29" i="12"/>
  <c r="AF29" i="12"/>
  <c r="L29" i="12" s="1"/>
  <c r="AB30" i="12"/>
  <c r="AC30" i="12"/>
  <c r="AD30" i="12"/>
  <c r="AE30" i="12"/>
  <c r="AF30" i="12"/>
  <c r="L30" i="12" s="1"/>
  <c r="AB31" i="12"/>
  <c r="AC31" i="12"/>
  <c r="AD31" i="12"/>
  <c r="AE31" i="12"/>
  <c r="AF31" i="12"/>
  <c r="L31" i="12" s="1"/>
  <c r="AB32" i="12"/>
  <c r="AC32" i="12"/>
  <c r="AD32" i="12"/>
  <c r="AE32" i="12"/>
  <c r="AF32" i="12"/>
  <c r="L32" i="12" s="1"/>
  <c r="AB33" i="12"/>
  <c r="AC33" i="12"/>
  <c r="AD33" i="12"/>
  <c r="AE33" i="12"/>
  <c r="AF33" i="12"/>
  <c r="L33" i="12" s="1"/>
  <c r="AB34" i="12"/>
  <c r="AC34" i="12"/>
  <c r="AD34" i="12"/>
  <c r="AE34" i="12"/>
  <c r="AF34" i="12"/>
  <c r="L34" i="12" s="1"/>
  <c r="AB35" i="12"/>
  <c r="AC35" i="12"/>
  <c r="AD35" i="12"/>
  <c r="AE35" i="12"/>
  <c r="AF35" i="12"/>
  <c r="L35" i="12" s="1"/>
  <c r="AB36" i="12"/>
  <c r="AC36" i="12"/>
  <c r="AD36" i="12"/>
  <c r="AE36" i="12"/>
  <c r="AF36" i="12"/>
  <c r="L36" i="12" s="1"/>
  <c r="AB37" i="12"/>
  <c r="AC37" i="12"/>
  <c r="AD37" i="12"/>
  <c r="AE37" i="12"/>
  <c r="AF37" i="12"/>
  <c r="L37" i="12" s="1"/>
  <c r="AB38" i="12"/>
  <c r="AC38" i="12"/>
  <c r="AD38" i="12"/>
  <c r="AK28" i="12"/>
  <c r="AK42" i="12"/>
  <c r="AK45" i="12"/>
  <c r="AK27" i="12"/>
  <c r="AK12" i="12"/>
  <c r="AK39" i="12"/>
  <c r="AK25" i="12"/>
  <c r="AK14" i="12"/>
  <c r="BK86" i="17"/>
  <c r="BL110" i="17"/>
  <c r="BL134" i="17"/>
  <c r="AK33" i="12"/>
  <c r="BL77" i="17"/>
  <c r="BL101" i="17"/>
  <c r="AK47" i="12"/>
  <c r="AK32" i="12"/>
  <c r="M9" i="17"/>
  <c r="D17" i="17"/>
  <c r="D137" i="17"/>
  <c r="D134" i="17"/>
  <c r="D131" i="17"/>
  <c r="D128" i="17"/>
  <c r="D125" i="17"/>
  <c r="D122" i="17"/>
  <c r="D119" i="17"/>
  <c r="D116" i="17"/>
  <c r="D113" i="17"/>
  <c r="D110" i="17"/>
  <c r="D107" i="17"/>
  <c r="D104" i="17"/>
  <c r="D101" i="17"/>
  <c r="D98" i="17"/>
  <c r="D95" i="17"/>
  <c r="D92" i="17"/>
  <c r="D89" i="17"/>
  <c r="D86" i="17"/>
  <c r="D83" i="17"/>
  <c r="D80" i="17"/>
  <c r="D77" i="17"/>
  <c r="D74" i="17"/>
  <c r="D71" i="17"/>
  <c r="D68" i="17"/>
  <c r="D65" i="17"/>
  <c r="D62" i="17"/>
  <c r="D59" i="17"/>
  <c r="D56" i="17"/>
  <c r="D53" i="17"/>
  <c r="D50" i="17"/>
  <c r="D47" i="17"/>
  <c r="D44" i="17"/>
  <c r="D41" i="17"/>
  <c r="D38" i="17"/>
  <c r="D35" i="17"/>
  <c r="D32" i="17"/>
  <c r="D29" i="17"/>
  <c r="D26" i="17"/>
  <c r="D23" i="17"/>
  <c r="D20" i="17"/>
  <c r="BL125" i="17" l="1"/>
  <c r="BL122" i="17"/>
  <c r="BK119" i="17"/>
  <c r="BK107" i="17"/>
  <c r="BL95" i="17"/>
  <c r="BK83" i="17"/>
  <c r="BL80" i="17"/>
  <c r="BK62" i="17"/>
  <c r="BK53" i="17"/>
  <c r="BL53" i="17"/>
  <c r="BK50" i="17"/>
  <c r="BK38" i="17"/>
  <c r="BL29" i="17"/>
  <c r="BK29" i="17"/>
  <c r="AT131" i="17"/>
  <c r="V131" i="17"/>
  <c r="V35" i="17"/>
  <c r="AT35" i="17"/>
  <c r="AT59" i="17"/>
  <c r="V59" i="17"/>
  <c r="AT83" i="17"/>
  <c r="V83" i="17"/>
  <c r="AT104" i="17"/>
  <c r="V104" i="17"/>
  <c r="AT128" i="17"/>
  <c r="V128" i="17"/>
  <c r="V65" i="17"/>
  <c r="AT65" i="17"/>
  <c r="V89" i="17"/>
  <c r="AT89" i="17"/>
  <c r="AT110" i="17"/>
  <c r="V110" i="17"/>
  <c r="AT107" i="17"/>
  <c r="V107" i="17"/>
  <c r="V41" i="17"/>
  <c r="AT41" i="17"/>
  <c r="V44" i="17"/>
  <c r="AT44" i="17"/>
  <c r="V68" i="17"/>
  <c r="AT68" i="17"/>
  <c r="V92" i="17"/>
  <c r="AT92" i="17"/>
  <c r="V113" i="17"/>
  <c r="AT113" i="17"/>
  <c r="V137" i="17"/>
  <c r="AT137" i="17"/>
  <c r="AT86" i="17"/>
  <c r="V86" i="17"/>
  <c r="AK38" i="12"/>
  <c r="V47" i="17"/>
  <c r="AT47" i="17"/>
  <c r="AK26" i="12"/>
  <c r="V71" i="17"/>
  <c r="AT71" i="17"/>
  <c r="V95" i="17"/>
  <c r="AT95" i="17"/>
  <c r="V116" i="17"/>
  <c r="AT116" i="17"/>
  <c r="V23" i="17"/>
  <c r="AT23" i="17"/>
  <c r="AT38" i="17"/>
  <c r="V38" i="17"/>
  <c r="AT26" i="17"/>
  <c r="V26" i="17"/>
  <c r="V50" i="17"/>
  <c r="AT50" i="17"/>
  <c r="AT74" i="17"/>
  <c r="V74" i="17"/>
  <c r="V119" i="17"/>
  <c r="AT119" i="17"/>
  <c r="V29" i="17"/>
  <c r="AT29" i="17"/>
  <c r="V53" i="17"/>
  <c r="AT53" i="17"/>
  <c r="V77" i="17"/>
  <c r="AT77" i="17"/>
  <c r="V98" i="17"/>
  <c r="AT98" i="17"/>
  <c r="AT122" i="17"/>
  <c r="V122" i="17"/>
  <c r="AT62" i="17"/>
  <c r="V62" i="17"/>
  <c r="AT32" i="17"/>
  <c r="V32" i="17"/>
  <c r="AT56" i="17"/>
  <c r="V56" i="17"/>
  <c r="AT80" i="17"/>
  <c r="V80" i="17"/>
  <c r="V101" i="17"/>
  <c r="AT101" i="17"/>
  <c r="V125" i="17"/>
  <c r="AT125" i="17"/>
  <c r="BK56" i="17"/>
  <c r="AK18" i="12"/>
  <c r="V9" i="12" s="1"/>
  <c r="BK80" i="17"/>
  <c r="BK104" i="17"/>
  <c r="AK20" i="12"/>
  <c r="X9" i="12" s="1"/>
  <c r="BL35" i="17"/>
  <c r="BL59" i="17"/>
  <c r="BL131" i="17"/>
  <c r="BL62" i="17"/>
  <c r="V17" i="17"/>
  <c r="S19" i="17" s="1"/>
  <c r="AK41" i="12"/>
  <c r="AK36" i="12"/>
  <c r="BK71" i="17"/>
  <c r="BK113" i="17"/>
  <c r="AK34" i="12"/>
  <c r="BL32" i="17"/>
  <c r="BK20" i="17"/>
  <c r="BK23" i="17"/>
  <c r="BL20" i="17"/>
  <c r="AF19" i="17"/>
  <c r="U11" i="12"/>
  <c r="M36" i="12"/>
  <c r="R10" i="12"/>
  <c r="V36" i="12"/>
  <c r="X26" i="12"/>
  <c r="Q9" i="12"/>
  <c r="W22" i="12"/>
  <c r="T18" i="12"/>
  <c r="V14" i="12"/>
  <c r="T13" i="12"/>
  <c r="T23" i="12"/>
  <c r="W14" i="12"/>
  <c r="X11" i="12"/>
  <c r="X30" i="12"/>
  <c r="Q14" i="12"/>
  <c r="Q38" i="12"/>
  <c r="T30" i="12"/>
  <c r="Q33" i="12"/>
  <c r="V21" i="12"/>
  <c r="T10" i="12"/>
  <c r="T24" i="12"/>
  <c r="T16" i="12"/>
  <c r="T9" i="12"/>
  <c r="X38" i="12"/>
  <c r="V17" i="12"/>
  <c r="S21" i="12"/>
  <c r="U31" i="12"/>
  <c r="S13" i="12"/>
  <c r="R36" i="12"/>
  <c r="S30" i="12"/>
  <c r="S38" i="12"/>
  <c r="Q26" i="12"/>
  <c r="S26" i="12"/>
  <c r="V34" i="12"/>
  <c r="X29" i="12"/>
  <c r="T28" i="12"/>
  <c r="R38" i="12"/>
  <c r="R34" i="12"/>
  <c r="T17" i="12"/>
  <c r="Q19" i="12"/>
  <c r="V32" i="12"/>
  <c r="X23" i="12"/>
  <c r="R12" i="12"/>
  <c r="U34" i="12"/>
  <c r="W12" i="12"/>
  <c r="S37" i="12"/>
  <c r="W36" i="12"/>
  <c r="U22" i="12"/>
  <c r="W33" i="12"/>
  <c r="R18" i="12"/>
  <c r="X32" i="12"/>
  <c r="R24" i="12"/>
  <c r="T27" i="12"/>
  <c r="Q17" i="12"/>
  <c r="W38" i="12"/>
  <c r="Q35" i="12"/>
  <c r="S22" i="12"/>
  <c r="W29" i="12"/>
  <c r="Q29" i="12"/>
  <c r="S28" i="12"/>
  <c r="X20" i="12"/>
  <c r="V19" i="12"/>
  <c r="U23" i="12"/>
  <c r="Q25" i="12"/>
  <c r="S23" i="12"/>
  <c r="R22" i="12"/>
  <c r="S33" i="12"/>
  <c r="R31" i="12"/>
  <c r="T34" i="12"/>
  <c r="Q12" i="12"/>
  <c r="X21" i="12"/>
  <c r="U21" i="12"/>
  <c r="W18" i="12"/>
  <c r="U37" i="12"/>
  <c r="V26" i="12"/>
  <c r="R26" i="12"/>
  <c r="S35" i="12"/>
  <c r="X17" i="12"/>
  <c r="R28" i="12"/>
  <c r="V28" i="12"/>
  <c r="R20" i="12"/>
  <c r="R14" i="12"/>
  <c r="V31" i="12"/>
  <c r="X27" i="12"/>
  <c r="W11" i="12"/>
  <c r="W30" i="12"/>
  <c r="R21" i="12"/>
  <c r="R17" i="12"/>
  <c r="T31" i="12"/>
  <c r="V37" i="12"/>
  <c r="V35" i="12"/>
  <c r="Q20" i="12"/>
  <c r="R15" i="12"/>
  <c r="U33" i="12"/>
  <c r="W19" i="12"/>
  <c r="V27" i="12"/>
  <c r="Q28" i="12"/>
  <c r="R37" i="12"/>
  <c r="V12" i="12"/>
  <c r="U19" i="12"/>
  <c r="W27" i="12"/>
  <c r="Q37" i="12"/>
  <c r="W37" i="12"/>
  <c r="S17" i="12"/>
  <c r="R29" i="12"/>
  <c r="V24" i="12"/>
  <c r="S20" i="12"/>
  <c r="T22" i="12"/>
  <c r="Q30" i="12"/>
  <c r="U20" i="12"/>
  <c r="X12" i="12"/>
  <c r="W17" i="12"/>
  <c r="U36" i="12"/>
  <c r="V38" i="12"/>
  <c r="W13" i="12"/>
  <c r="S31" i="12"/>
  <c r="W25" i="12"/>
  <c r="Q36" i="12"/>
  <c r="W31" i="12"/>
  <c r="X33" i="12"/>
  <c r="X18" i="12"/>
  <c r="T15" i="12"/>
  <c r="U16" i="12"/>
  <c r="T36" i="12"/>
  <c r="X22" i="12"/>
  <c r="V15" i="12"/>
  <c r="R9" i="12"/>
  <c r="T11" i="12"/>
  <c r="X14" i="12"/>
  <c r="Q18" i="12"/>
  <c r="W32" i="12"/>
  <c r="T20" i="12"/>
  <c r="U14" i="12"/>
  <c r="U24" i="12"/>
  <c r="R33" i="12"/>
  <c r="S27" i="12"/>
  <c r="X28" i="12"/>
  <c r="X37" i="12"/>
  <c r="W28" i="12"/>
  <c r="X24" i="12"/>
  <c r="U35" i="12"/>
  <c r="S16" i="12"/>
  <c r="V29" i="12"/>
  <c r="T38" i="12"/>
  <c r="T21" i="12"/>
  <c r="S10" i="12"/>
  <c r="V25" i="12"/>
  <c r="R27" i="12"/>
  <c r="U18" i="12"/>
  <c r="T26" i="12"/>
  <c r="S11" i="12"/>
  <c r="U25" i="12"/>
  <c r="W15" i="12"/>
  <c r="R30" i="12"/>
  <c r="U13" i="12"/>
  <c r="U12" i="12"/>
  <c r="Q24" i="12"/>
  <c r="Q16" i="12"/>
  <c r="T14" i="12"/>
  <c r="T35" i="12"/>
  <c r="S25" i="12"/>
  <c r="W35" i="12"/>
  <c r="Q13" i="12"/>
  <c r="U30" i="12"/>
  <c r="Q15" i="12"/>
  <c r="X36" i="12"/>
  <c r="S18" i="12"/>
  <c r="X19" i="12"/>
  <c r="U32" i="12"/>
  <c r="X31" i="12"/>
  <c r="R19" i="12"/>
  <c r="U17" i="12"/>
  <c r="X13" i="12"/>
  <c r="Q21" i="12"/>
  <c r="S19" i="12"/>
  <c r="R32" i="12"/>
  <c r="V23" i="12"/>
  <c r="W16" i="12"/>
  <c r="S9" i="12"/>
  <c r="W23" i="12"/>
  <c r="W26" i="12"/>
  <c r="U28" i="12"/>
  <c r="U27" i="12"/>
  <c r="Q27" i="12"/>
  <c r="T32" i="12"/>
  <c r="V33" i="12"/>
  <c r="X16" i="12"/>
  <c r="S14" i="12"/>
  <c r="V20" i="12"/>
  <c r="T12" i="12"/>
  <c r="S32" i="12"/>
  <c r="R16" i="12"/>
  <c r="U26" i="12"/>
  <c r="X34" i="12"/>
  <c r="V30" i="12"/>
  <c r="S29" i="12"/>
  <c r="S36" i="12"/>
  <c r="X25" i="12"/>
  <c r="U29" i="12"/>
  <c r="W21" i="12"/>
  <c r="S12" i="12"/>
  <c r="T37" i="12"/>
  <c r="V11" i="12"/>
  <c r="Q34" i="12"/>
  <c r="Q23" i="12"/>
  <c r="Q31" i="12"/>
  <c r="W24" i="12"/>
  <c r="W34" i="12"/>
  <c r="R35" i="12"/>
  <c r="T33" i="12"/>
  <c r="Q32" i="12"/>
  <c r="R13" i="12"/>
  <c r="R23" i="12"/>
  <c r="Q22" i="12"/>
  <c r="V16" i="12"/>
  <c r="R25" i="12"/>
  <c r="R11" i="12"/>
  <c r="U38" i="12"/>
  <c r="V22" i="12"/>
  <c r="T29" i="12"/>
  <c r="V18" i="12"/>
  <c r="S34" i="12"/>
  <c r="S15" i="12"/>
  <c r="Q11" i="12"/>
  <c r="W20" i="12"/>
  <c r="S24" i="12"/>
  <c r="T25" i="12"/>
  <c r="X15" i="12"/>
  <c r="U15" i="12"/>
  <c r="T19" i="12"/>
  <c r="M16" i="12"/>
  <c r="AK48" i="12"/>
  <c r="AK30" i="12"/>
  <c r="AK13" i="12"/>
  <c r="AK10" i="12"/>
  <c r="V10" i="12" s="1"/>
  <c r="BL83" i="17"/>
  <c r="BL107" i="17"/>
  <c r="BL41" i="17"/>
  <c r="BK59" i="17"/>
  <c r="BK98" i="17"/>
  <c r="BL116" i="17"/>
  <c r="BL137" i="17"/>
  <c r="AK16" i="12"/>
  <c r="V13" i="12"/>
  <c r="BL65" i="17"/>
  <c r="BL26" i="17"/>
  <c r="BL68" i="17"/>
  <c r="BL17" i="17"/>
  <c r="X35" i="12"/>
  <c r="BK89" i="17"/>
  <c r="BL71" i="17"/>
  <c r="AK22" i="12"/>
  <c r="X10" i="12" s="1"/>
  <c r="AK17" i="12"/>
  <c r="Q10" i="12"/>
  <c r="BL74" i="17"/>
  <c r="BK92" i="17"/>
  <c r="AT17" i="17"/>
  <c r="AK24" i="12"/>
  <c r="BK35" i="17"/>
  <c r="BK77" i="17"/>
  <c r="BK95" i="17"/>
  <c r="BK131" i="17"/>
  <c r="M27" i="12"/>
  <c r="M19" i="12"/>
  <c r="M5" i="17"/>
  <c r="M7" i="17" s="1"/>
  <c r="N7" i="17" s="1"/>
  <c r="M30" i="12"/>
  <c r="M20" i="12"/>
  <c r="N5" i="17"/>
  <c r="M31" i="12"/>
  <c r="AK9" i="12"/>
  <c r="M29" i="12"/>
  <c r="M28" i="12"/>
  <c r="M22" i="12"/>
  <c r="M21" i="12"/>
  <c r="M37" i="12"/>
  <c r="M24" i="12"/>
  <c r="M32" i="12"/>
  <c r="M18" i="12"/>
  <c r="M33" i="12"/>
  <c r="M23" i="12"/>
  <c r="M26" i="12"/>
  <c r="M34" i="12"/>
  <c r="M17" i="12"/>
  <c r="M35" i="12"/>
  <c r="M25" i="12"/>
  <c r="M15" i="12"/>
  <c r="AK31" i="12"/>
  <c r="BK68" i="17"/>
  <c r="BK116" i="17"/>
  <c r="BL92" i="17"/>
  <c r="BK65" i="17"/>
  <c r="AK44" i="12"/>
  <c r="BK17" i="17"/>
  <c r="AK11" i="12"/>
  <c r="AK19" i="12"/>
  <c r="W9" i="12" s="1"/>
  <c r="BL56" i="17"/>
  <c r="BL98" i="17"/>
  <c r="BK74" i="17"/>
  <c r="BK128" i="17"/>
  <c r="BK32" i="17"/>
  <c r="AK40" i="12"/>
  <c r="AK43" i="12"/>
  <c r="BK47" i="17"/>
  <c r="BL23" i="17"/>
  <c r="BL119" i="17"/>
  <c r="BK44" i="17"/>
  <c r="AK23" i="12"/>
  <c r="W10" i="12" s="1"/>
  <c r="AK46" i="12"/>
  <c r="BL50" i="17"/>
  <c r="BL104" i="17"/>
  <c r="S18" i="17" l="1"/>
  <c r="S17" i="17" s="1"/>
  <c r="H17" i="17" s="1"/>
  <c r="S58" i="17"/>
  <c r="S57" i="17"/>
  <c r="S40" i="17"/>
  <c r="S39" i="17"/>
  <c r="S85" i="17"/>
  <c r="S84" i="17"/>
  <c r="S100" i="17"/>
  <c r="S99" i="17"/>
  <c r="S121" i="17"/>
  <c r="S120" i="17"/>
  <c r="S73" i="17"/>
  <c r="S72" i="17"/>
  <c r="S139" i="17"/>
  <c r="S138" i="17"/>
  <c r="S46" i="17"/>
  <c r="S45" i="17"/>
  <c r="S91" i="17"/>
  <c r="S90" i="17"/>
  <c r="S34" i="17"/>
  <c r="S33" i="17"/>
  <c r="S75" i="17"/>
  <c r="S76" i="17"/>
  <c r="S61" i="17"/>
  <c r="S60" i="17"/>
  <c r="S127" i="17"/>
  <c r="S126" i="17"/>
  <c r="S79" i="17"/>
  <c r="S78" i="17"/>
  <c r="S25" i="17"/>
  <c r="S24" i="17"/>
  <c r="S115" i="17"/>
  <c r="S114" i="17"/>
  <c r="S43" i="17"/>
  <c r="S42" i="17"/>
  <c r="S67" i="17"/>
  <c r="S66" i="17"/>
  <c r="S65" i="17" s="1"/>
  <c r="H65" i="17" s="1"/>
  <c r="S64" i="17"/>
  <c r="S63" i="17"/>
  <c r="S49" i="17"/>
  <c r="S48" i="17"/>
  <c r="S109" i="17"/>
  <c r="S108" i="17"/>
  <c r="S130" i="17"/>
  <c r="S129" i="17"/>
  <c r="S103" i="17"/>
  <c r="S102" i="17"/>
  <c r="S55" i="17"/>
  <c r="S54" i="17"/>
  <c r="S52" i="17"/>
  <c r="S51" i="17"/>
  <c r="S118" i="17"/>
  <c r="S117" i="17"/>
  <c r="S94" i="17"/>
  <c r="S93" i="17"/>
  <c r="S37" i="17"/>
  <c r="S36" i="17"/>
  <c r="S35" i="17" s="1"/>
  <c r="H35" i="17" s="1"/>
  <c r="S82" i="17"/>
  <c r="S81" i="17"/>
  <c r="S124" i="17"/>
  <c r="S123" i="17"/>
  <c r="S28" i="17"/>
  <c r="S27" i="17"/>
  <c r="S88" i="17"/>
  <c r="S87" i="17"/>
  <c r="S112" i="17"/>
  <c r="S111" i="17"/>
  <c r="S106" i="17"/>
  <c r="S105" i="17"/>
  <c r="S133" i="17"/>
  <c r="S132" i="17"/>
  <c r="S31" i="17"/>
  <c r="S30" i="17"/>
  <c r="S97" i="17"/>
  <c r="S96" i="17"/>
  <c r="S70" i="17"/>
  <c r="S69" i="17"/>
  <c r="Y11" i="12"/>
  <c r="K11" i="12" s="1"/>
  <c r="AF11" i="12" s="1"/>
  <c r="L11" i="12" s="1"/>
  <c r="BH3" i="17"/>
  <c r="Z19" i="12"/>
  <c r="AA31" i="12"/>
  <c r="Y27" i="12"/>
  <c r="K27" i="12" s="1"/>
  <c r="AF17" i="17"/>
  <c r="L17" i="17" s="1"/>
  <c r="Y12" i="12"/>
  <c r="K12" i="12" s="1"/>
  <c r="AF12" i="12" s="1"/>
  <c r="L12" i="12" s="1"/>
  <c r="AA17" i="12"/>
  <c r="AA19" i="12"/>
  <c r="AA27" i="12"/>
  <c r="Y22" i="12"/>
  <c r="K22" i="12" s="1"/>
  <c r="Z38" i="12"/>
  <c r="AE38" i="12" s="1"/>
  <c r="M38" i="12" s="1"/>
  <c r="AA38" i="12"/>
  <c r="Y23" i="12"/>
  <c r="K23" i="12" s="1"/>
  <c r="Z27" i="12"/>
  <c r="AA32" i="12"/>
  <c r="AA10" i="12"/>
  <c r="AA18" i="12"/>
  <c r="AA14" i="12"/>
  <c r="Z22" i="12"/>
  <c r="AA26" i="12"/>
  <c r="Z35" i="12"/>
  <c r="Y25" i="12"/>
  <c r="K25" i="12" s="1"/>
  <c r="Y29" i="12"/>
  <c r="K29" i="12" s="1"/>
  <c r="AA35" i="12"/>
  <c r="AA20" i="12"/>
  <c r="Y14" i="12"/>
  <c r="K14" i="12" s="1"/>
  <c r="AF14" i="12" s="1"/>
  <c r="L14" i="12" s="1"/>
  <c r="Y32" i="12"/>
  <c r="K32" i="12" s="1"/>
  <c r="Y31" i="12"/>
  <c r="K31" i="12" s="1"/>
  <c r="Y35" i="12"/>
  <c r="K35" i="12" s="1"/>
  <c r="Z34" i="12"/>
  <c r="Y26" i="12"/>
  <c r="K26" i="12" s="1"/>
  <c r="Y33" i="12"/>
  <c r="K33" i="12" s="1"/>
  <c r="Z14" i="12"/>
  <c r="AE14" i="12" s="1"/>
  <c r="M14" i="12" s="1"/>
  <c r="Z31" i="12"/>
  <c r="Y34" i="12"/>
  <c r="K34" i="12" s="1"/>
  <c r="Z20" i="12"/>
  <c r="Y18" i="12"/>
  <c r="K18" i="12" s="1"/>
  <c r="Y28" i="12"/>
  <c r="K28" i="12" s="1"/>
  <c r="AA21" i="12"/>
  <c r="Z33" i="12"/>
  <c r="AA9" i="12"/>
  <c r="AE9" i="12" s="1"/>
  <c r="M9" i="12" s="1"/>
  <c r="Z28" i="12"/>
  <c r="Z18" i="12"/>
  <c r="AA13" i="12"/>
  <c r="AA34" i="12"/>
  <c r="Y16" i="12"/>
  <c r="K16" i="12" s="1"/>
  <c r="AA22" i="12"/>
  <c r="AA11" i="12"/>
  <c r="Y37" i="12"/>
  <c r="K37" i="12" s="1"/>
  <c r="AA29" i="12"/>
  <c r="Y13" i="12"/>
  <c r="K13" i="12" s="1"/>
  <c r="AF13" i="12" s="1"/>
  <c r="L13" i="12" s="1"/>
  <c r="Z15" i="12"/>
  <c r="Z24" i="12"/>
  <c r="Y24" i="12"/>
  <c r="K24" i="12" s="1"/>
  <c r="AA37" i="12"/>
  <c r="Y30" i="12"/>
  <c r="K30" i="12" s="1"/>
  <c r="Y17" i="12"/>
  <c r="K17" i="12" s="1"/>
  <c r="Y19" i="12"/>
  <c r="K19" i="12" s="1"/>
  <c r="Z17" i="12"/>
  <c r="AA30" i="12"/>
  <c r="Z10" i="12"/>
  <c r="AE10" i="12" s="1"/>
  <c r="M10" i="12" s="1"/>
  <c r="AA25" i="12"/>
  <c r="Z32" i="12"/>
  <c r="AA23" i="12"/>
  <c r="Y21" i="12"/>
  <c r="K21" i="12" s="1"/>
  <c r="Y38" i="12"/>
  <c r="K38" i="12" s="1"/>
  <c r="AF38" i="12" s="1"/>
  <c r="L38" i="12" s="1"/>
  <c r="Y36" i="12"/>
  <c r="K36" i="12" s="1"/>
  <c r="Z30" i="12"/>
  <c r="Z25" i="12"/>
  <c r="Z23" i="12"/>
  <c r="AA28" i="12"/>
  <c r="AA33" i="12"/>
  <c r="Z11" i="12"/>
  <c r="AE11" i="12" s="1"/>
  <c r="M11" i="12" s="1"/>
  <c r="Y15" i="12"/>
  <c r="K15" i="12" s="1"/>
  <c r="Z12" i="12"/>
  <c r="AE12" i="12" s="1"/>
  <c r="M12" i="12" s="1"/>
  <c r="AA36" i="12"/>
  <c r="Z21" i="12"/>
  <c r="Z9" i="12"/>
  <c r="AA16" i="12"/>
  <c r="Y20" i="12"/>
  <c r="K20" i="12" s="1"/>
  <c r="Z16" i="12"/>
  <c r="Z13" i="12"/>
  <c r="AE13" i="12" s="1"/>
  <c r="Z29" i="12"/>
  <c r="AA12" i="12"/>
  <c r="Z36" i="12"/>
  <c r="Z37" i="12"/>
  <c r="AA15" i="12"/>
  <c r="AA24" i="12"/>
  <c r="Z26" i="12"/>
  <c r="BI5" i="17"/>
  <c r="U10" i="12"/>
  <c r="Y10" i="12" s="1"/>
  <c r="K10" i="12" s="1"/>
  <c r="AF10" i="12" s="1"/>
  <c r="L10" i="12" s="1"/>
  <c r="U9" i="12"/>
  <c r="Y9" i="12" s="1"/>
  <c r="K9" i="12" s="1"/>
  <c r="AF9" i="12" s="1"/>
  <c r="L9" i="12" s="1"/>
  <c r="BH4" i="17"/>
  <c r="BK7" i="17"/>
  <c r="BK6" i="17"/>
  <c r="BG3" i="17"/>
  <c r="BF7" i="17"/>
  <c r="BK4" i="17"/>
  <c r="BJ4" i="17"/>
  <c r="BF4" i="17"/>
  <c r="BJ3" i="17"/>
  <c r="BF6" i="17"/>
  <c r="BK3" i="17"/>
  <c r="BI7" i="17"/>
  <c r="BI3" i="17"/>
  <c r="BG6" i="17"/>
  <c r="BF3" i="17"/>
  <c r="BJ5" i="17"/>
  <c r="BF5" i="17"/>
  <c r="BJ7" i="17"/>
  <c r="BK5" i="17"/>
  <c r="BH5" i="17"/>
  <c r="BG7" i="17"/>
  <c r="BJ6" i="17"/>
  <c r="BH6" i="17"/>
  <c r="BI6" i="17"/>
  <c r="BG5" i="17"/>
  <c r="BG4" i="17"/>
  <c r="BI4" i="17"/>
  <c r="BH7" i="17"/>
  <c r="S26" i="17" l="1"/>
  <c r="H26" i="17" s="1"/>
  <c r="S29" i="17"/>
  <c r="H29" i="17" s="1"/>
  <c r="S86" i="17"/>
  <c r="H86" i="17" s="1"/>
  <c r="S53" i="17"/>
  <c r="H53" i="17" s="1"/>
  <c r="S47" i="17"/>
  <c r="H47" i="17" s="1"/>
  <c r="S113" i="17"/>
  <c r="H113" i="17" s="1"/>
  <c r="S59" i="17"/>
  <c r="H59" i="17" s="1"/>
  <c r="S131" i="17"/>
  <c r="H131" i="17" s="1"/>
  <c r="S92" i="17"/>
  <c r="H92" i="17" s="1"/>
  <c r="S101" i="17"/>
  <c r="H101" i="17" s="1"/>
  <c r="S62" i="17"/>
  <c r="H62" i="17" s="1"/>
  <c r="S23" i="17"/>
  <c r="H23" i="17" s="1"/>
  <c r="S137" i="17"/>
  <c r="H137" i="17" s="1"/>
  <c r="S44" i="17"/>
  <c r="H44" i="17" s="1"/>
  <c r="S98" i="17"/>
  <c r="H98" i="17" s="1"/>
  <c r="S83" i="17"/>
  <c r="H83" i="17" s="1"/>
  <c r="S74" i="17"/>
  <c r="H74" i="17" s="1"/>
  <c r="S68" i="17"/>
  <c r="H68" i="17" s="1"/>
  <c r="S104" i="17"/>
  <c r="H104" i="17" s="1"/>
  <c r="S122" i="17"/>
  <c r="H122" i="17" s="1"/>
  <c r="S116" i="17"/>
  <c r="H116" i="17" s="1"/>
  <c r="S128" i="17"/>
  <c r="H128" i="17" s="1"/>
  <c r="S77" i="17"/>
  <c r="H77" i="17" s="1"/>
  <c r="S32" i="17"/>
  <c r="H32" i="17" s="1"/>
  <c r="S71" i="17"/>
  <c r="H71" i="17" s="1"/>
  <c r="S38" i="17"/>
  <c r="H38" i="17" s="1"/>
  <c r="S95" i="17"/>
  <c r="H95" i="17" s="1"/>
  <c r="S110" i="17"/>
  <c r="H110" i="17" s="1"/>
  <c r="S80" i="17"/>
  <c r="H80" i="17" s="1"/>
  <c r="S50" i="17"/>
  <c r="H50" i="17" s="1"/>
  <c r="S107" i="17"/>
  <c r="H107" i="17" s="1"/>
  <c r="S41" i="17"/>
  <c r="H41" i="17" s="1"/>
  <c r="S125" i="17"/>
  <c r="H125" i="17" s="1"/>
  <c r="S89" i="17"/>
  <c r="H89" i="17" s="1"/>
  <c r="S119" i="17"/>
  <c r="H119" i="17" s="1"/>
  <c r="S56" i="17"/>
  <c r="H56" i="17" s="1"/>
  <c r="AC13" i="12"/>
  <c r="M13" i="12" s="1"/>
  <c r="AM17" i="17" l="1"/>
  <c r="P17" i="17" s="1"/>
</calcChain>
</file>

<file path=xl/comments1.xml><?xml version="1.0" encoding="utf-8"?>
<comments xmlns="http://schemas.openxmlformats.org/spreadsheetml/2006/main">
  <authors>
    <author>spa</author>
  </authors>
  <commentList>
    <comment ref="M8" authorId="0" shapeId="0">
      <text>
        <r>
          <rPr>
            <b/>
            <sz val="9"/>
            <color indexed="81"/>
            <rFont val="ＭＳ Ｐゴシック"/>
            <family val="3"/>
            <charset val="128"/>
          </rPr>
          <t>性別と男女別の組合せのチェックを行っています
組合せがエラーの場合”ng”と表示されます</t>
        </r>
      </text>
    </comment>
  </commentList>
</comments>
</file>

<file path=xl/sharedStrings.xml><?xml version="1.0" encoding="utf-8"?>
<sst xmlns="http://schemas.openxmlformats.org/spreadsheetml/2006/main" count="312" uniqueCount="226">
  <si>
    <t>男</t>
    <rPh sb="0" eb="1">
      <t>オトコ</t>
    </rPh>
    <phoneticPr fontId="1"/>
  </si>
  <si>
    <t>氏名</t>
    <rPh sb="0" eb="2">
      <t>シメイ</t>
    </rPh>
    <phoneticPr fontId="1"/>
  </si>
  <si>
    <t>参加種目</t>
    <rPh sb="0" eb="2">
      <t>サンカ</t>
    </rPh>
    <rPh sb="2" eb="4">
      <t>シュモク</t>
    </rPh>
    <phoneticPr fontId="1"/>
  </si>
  <si>
    <t>距離</t>
    <rPh sb="0" eb="2">
      <t>キョリ</t>
    </rPh>
    <phoneticPr fontId="1"/>
  </si>
  <si>
    <t>住所</t>
    <rPh sb="0" eb="2">
      <t>ジュウショ</t>
    </rPh>
    <phoneticPr fontId="1"/>
  </si>
  <si>
    <t>平泳ぎ</t>
    <rPh sb="0" eb="2">
      <t>ヒラオヨ</t>
    </rPh>
    <phoneticPr fontId="1"/>
  </si>
  <si>
    <t>自由形</t>
    <rPh sb="0" eb="3">
      <t>ジユウガタ</t>
    </rPh>
    <phoneticPr fontId="1"/>
  </si>
  <si>
    <t>背泳ぎ</t>
    <rPh sb="0" eb="2">
      <t>セオヨ</t>
    </rPh>
    <phoneticPr fontId="1"/>
  </si>
  <si>
    <t>フリガナ</t>
    <phoneticPr fontId="1"/>
  </si>
  <si>
    <t>リレー</t>
    <phoneticPr fontId="1"/>
  </si>
  <si>
    <t>個人メドレー</t>
    <rPh sb="0" eb="2">
      <t>コジン</t>
    </rPh>
    <phoneticPr fontId="1"/>
  </si>
  <si>
    <t>性別</t>
    <rPh sb="0" eb="2">
      <t>セイベツ</t>
    </rPh>
    <phoneticPr fontId="1"/>
  </si>
  <si>
    <t>女</t>
    <rPh sb="0" eb="1">
      <t>オンナ</t>
    </rPh>
    <phoneticPr fontId="1"/>
  </si>
  <si>
    <t>バタフライ</t>
    <phoneticPr fontId="1"/>
  </si>
  <si>
    <t>男子</t>
    <rPh sb="0" eb="2">
      <t>ダンシ</t>
    </rPh>
    <phoneticPr fontId="1"/>
  </si>
  <si>
    <t>女子</t>
    <rPh sb="0" eb="2">
      <t>ジョシ</t>
    </rPh>
    <phoneticPr fontId="1"/>
  </si>
  <si>
    <t>区分</t>
    <rPh sb="0" eb="2">
      <t>クブン</t>
    </rPh>
    <phoneticPr fontId="1"/>
  </si>
  <si>
    <t>郵便番号</t>
    <rPh sb="0" eb="4">
      <t>ユウビンバンゴウ</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</si>
  <si>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</si>
  <si>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</si>
  <si>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</si>
  <si>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E_Mail</t>
    <phoneticPr fontId="1"/>
  </si>
  <si>
    <t>申込日付</t>
    <rPh sb="0" eb="2">
      <t>モウシコミ</t>
    </rPh>
    <rPh sb="2" eb="4">
      <t>ヒヅケ</t>
    </rPh>
    <phoneticPr fontId="1"/>
  </si>
  <si>
    <t>№</t>
    <phoneticPr fontId="1"/>
  </si>
  <si>
    <t>エントリータイム</t>
    <phoneticPr fontId="1"/>
  </si>
  <si>
    <t>１種目目</t>
    <rPh sb="1" eb="3">
      <t>シュモク</t>
    </rPh>
    <rPh sb="3" eb="4">
      <t>メ</t>
    </rPh>
    <phoneticPr fontId="1"/>
  </si>
  <si>
    <t>2種目目</t>
    <rPh sb="1" eb="3">
      <t>シュモク</t>
    </rPh>
    <rPh sb="3" eb="4">
      <t>メ</t>
    </rPh>
    <phoneticPr fontId="1"/>
  </si>
  <si>
    <t>年齢区分</t>
    <rPh sb="0" eb="2">
      <t>ネンレイ</t>
    </rPh>
    <rPh sb="2" eb="4">
      <t>クブン</t>
    </rPh>
    <phoneticPr fontId="1"/>
  </si>
  <si>
    <t>参加人数</t>
    <rPh sb="0" eb="2">
      <t>サンカ</t>
    </rPh>
    <rPh sb="2" eb="4">
      <t>ニンズウ</t>
    </rPh>
    <phoneticPr fontId="1"/>
  </si>
  <si>
    <t>参加種目数</t>
    <rPh sb="0" eb="2">
      <t>サンカ</t>
    </rPh>
    <rPh sb="2" eb="4">
      <t>シュモク</t>
    </rPh>
    <rPh sb="4" eb="5">
      <t>スウ</t>
    </rPh>
    <phoneticPr fontId="1"/>
  </si>
  <si>
    <t>合計</t>
    <rPh sb="0" eb="2">
      <t>ゴウケイ</t>
    </rPh>
    <phoneticPr fontId="1"/>
  </si>
  <si>
    <t>種目</t>
    <rPh sb="0" eb="2">
      <t>シュモク</t>
    </rPh>
    <phoneticPr fontId="1"/>
  </si>
  <si>
    <t>エントリタイム</t>
    <phoneticPr fontId="1"/>
  </si>
  <si>
    <t>フリー</t>
    <phoneticPr fontId="1"/>
  </si>
  <si>
    <t>メドレー</t>
    <phoneticPr fontId="1"/>
  </si>
  <si>
    <t>混合</t>
    <rPh sb="0" eb="2">
      <t>コンゴウ</t>
    </rPh>
    <phoneticPr fontId="1"/>
  </si>
  <si>
    <t>リレー申込書</t>
    <rPh sb="3" eb="6">
      <t>モウシコミショ</t>
    </rPh>
    <phoneticPr fontId="1"/>
  </si>
  <si>
    <t>メドレー</t>
    <phoneticPr fontId="1"/>
  </si>
  <si>
    <t>リレーチーム名
(6文字以内）</t>
    <rPh sb="6" eb="7">
      <t>メイ</t>
    </rPh>
    <rPh sb="10" eb="12">
      <t>モジ</t>
    </rPh>
    <rPh sb="12" eb="14">
      <t>イナイ</t>
    </rPh>
    <phoneticPr fontId="1"/>
  </si>
  <si>
    <t>チェック</t>
    <phoneticPr fontId="1"/>
  </si>
  <si>
    <t>第一泳者</t>
    <rPh sb="0" eb="2">
      <t>ダイイチ</t>
    </rPh>
    <rPh sb="2" eb="4">
      <t>エイシャ</t>
    </rPh>
    <phoneticPr fontId="1"/>
  </si>
  <si>
    <t>第三泳者</t>
    <rPh sb="0" eb="1">
      <t>ダイ</t>
    </rPh>
    <rPh sb="1" eb="2">
      <t>サン</t>
    </rPh>
    <rPh sb="2" eb="4">
      <t>エイシャ</t>
    </rPh>
    <phoneticPr fontId="1"/>
  </si>
  <si>
    <t>第四泳者</t>
    <rPh sb="0" eb="1">
      <t>ダイ</t>
    </rPh>
    <rPh sb="1" eb="2">
      <t>ヨン</t>
    </rPh>
    <rPh sb="2" eb="4">
      <t>エイシャ</t>
    </rPh>
    <phoneticPr fontId="1"/>
  </si>
  <si>
    <t>第二泳者</t>
    <rPh sb="0" eb="1">
      <t>ダイ</t>
    </rPh>
    <rPh sb="1" eb="2">
      <t>ニ</t>
    </rPh>
    <rPh sb="2" eb="4">
      <t>エイシャ</t>
    </rPh>
    <phoneticPr fontId="1"/>
  </si>
  <si>
    <t>年齢</t>
    <rPh sb="0" eb="2">
      <t>ネンレイ</t>
    </rPh>
    <phoneticPr fontId="1"/>
  </si>
  <si>
    <t>男・女</t>
    <rPh sb="0" eb="1">
      <t>オトコ</t>
    </rPh>
    <rPh sb="2" eb="3">
      <t>オンナ</t>
    </rPh>
    <phoneticPr fontId="1"/>
  </si>
  <si>
    <t>種目１</t>
    <rPh sb="0" eb="2">
      <t>シュモク</t>
    </rPh>
    <phoneticPr fontId="1"/>
  </si>
  <si>
    <t>距離1</t>
    <rPh sb="0" eb="2">
      <t>キョリ</t>
    </rPh>
    <phoneticPr fontId="1"/>
  </si>
  <si>
    <t>種目2</t>
    <rPh sb="0" eb="2">
      <t>シュモク</t>
    </rPh>
    <phoneticPr fontId="1"/>
  </si>
  <si>
    <t>距離2</t>
    <rPh sb="0" eb="2">
      <t>キョリ</t>
    </rPh>
    <phoneticPr fontId="1"/>
  </si>
  <si>
    <t>種目1</t>
    <rPh sb="0" eb="2">
      <t>シュモク</t>
    </rPh>
    <phoneticPr fontId="1"/>
  </si>
  <si>
    <t>チーム名又は団体名</t>
    <rPh sb="3" eb="4">
      <t>メイ</t>
    </rPh>
    <rPh sb="4" eb="5">
      <t>マタ</t>
    </rPh>
    <rPh sb="6" eb="8">
      <t>ダンタイ</t>
    </rPh>
    <rPh sb="8" eb="9">
      <t>メイ</t>
    </rPh>
    <phoneticPr fontId="1"/>
  </si>
  <si>
    <t>チーム名又は団体名の略称（６文字以内）</t>
    <rPh sb="3" eb="4">
      <t>メイ</t>
    </rPh>
    <rPh sb="4" eb="5">
      <t>マタ</t>
    </rPh>
    <rPh sb="6" eb="8">
      <t>ダンタイ</t>
    </rPh>
    <rPh sb="8" eb="9">
      <t>メイ</t>
    </rPh>
    <rPh sb="10" eb="12">
      <t>リャクショウ</t>
    </rPh>
    <rPh sb="14" eb="16">
      <t>モジ</t>
    </rPh>
    <rPh sb="16" eb="18">
      <t>イナイ</t>
    </rPh>
    <phoneticPr fontId="1"/>
  </si>
  <si>
    <t>生年月日</t>
    <rPh sb="0" eb="2">
      <t>セイネン</t>
    </rPh>
    <rPh sb="2" eb="4">
      <t>ガッピ</t>
    </rPh>
    <phoneticPr fontId="1"/>
  </si>
  <si>
    <t>勤務先名又は学校名</t>
    <rPh sb="0" eb="3">
      <t>キンムサキ</t>
    </rPh>
    <rPh sb="3" eb="4">
      <t>メイ</t>
    </rPh>
    <rPh sb="4" eb="5">
      <t>マタ</t>
    </rPh>
    <rPh sb="6" eb="8">
      <t>ガッコウ</t>
    </rPh>
    <rPh sb="8" eb="9">
      <t>メイ</t>
    </rPh>
    <phoneticPr fontId="1"/>
  </si>
  <si>
    <t>太白区</t>
    <rPh sb="0" eb="3">
      <t>タイハクク</t>
    </rPh>
    <phoneticPr fontId="1"/>
  </si>
  <si>
    <t>若林区</t>
    <rPh sb="0" eb="3">
      <t>ワカバヤシク</t>
    </rPh>
    <phoneticPr fontId="1"/>
  </si>
  <si>
    <t>泉区</t>
    <rPh sb="0" eb="2">
      <t>イズミク</t>
    </rPh>
    <phoneticPr fontId="1"/>
  </si>
  <si>
    <t>青葉区</t>
    <rPh sb="0" eb="3">
      <t>アオバク</t>
    </rPh>
    <phoneticPr fontId="1"/>
  </si>
  <si>
    <t>宮城野区</t>
    <rPh sb="0" eb="4">
      <t>ミヤギノク</t>
    </rPh>
    <phoneticPr fontId="1"/>
  </si>
  <si>
    <t>個人メドレーチェック</t>
    <rPh sb="0" eb="2">
      <t>コジン</t>
    </rPh>
    <phoneticPr fontId="1"/>
  </si>
  <si>
    <t>1種目</t>
    <rPh sb="1" eb="3">
      <t>シュモク</t>
    </rPh>
    <phoneticPr fontId="1"/>
  </si>
  <si>
    <t>2種目</t>
    <rPh sb="1" eb="3">
      <t>シュモク</t>
    </rPh>
    <phoneticPr fontId="1"/>
  </si>
  <si>
    <t>年齢区分のサーチ</t>
    <rPh sb="0" eb="2">
      <t>ネンレイ</t>
    </rPh>
    <rPh sb="2" eb="4">
      <t>クブン</t>
    </rPh>
    <phoneticPr fontId="1"/>
  </si>
  <si>
    <t>例</t>
    <rPh sb="0" eb="1">
      <t>レイ</t>
    </rPh>
    <phoneticPr fontId="1"/>
  </si>
  <si>
    <t>参加費(2000円/人)</t>
    <rPh sb="0" eb="3">
      <t>サンカヒ</t>
    </rPh>
    <rPh sb="8" eb="9">
      <t>エン</t>
    </rPh>
    <rPh sb="10" eb="11">
      <t>ニン</t>
    </rPh>
    <phoneticPr fontId="1"/>
  </si>
  <si>
    <t>氏名と性別</t>
    <rPh sb="0" eb="2">
      <t>シメイ</t>
    </rPh>
    <rPh sb="3" eb="5">
      <t>セイベツ</t>
    </rPh>
    <phoneticPr fontId="1"/>
  </si>
  <si>
    <t>氏名と生年月日</t>
    <rPh sb="0" eb="2">
      <t>シメイ</t>
    </rPh>
    <rPh sb="3" eb="5">
      <t>セイネン</t>
    </rPh>
    <rPh sb="5" eb="7">
      <t>ガッピ</t>
    </rPh>
    <phoneticPr fontId="1"/>
  </si>
  <si>
    <t>氏名と住所</t>
    <rPh sb="0" eb="2">
      <t>シメイ</t>
    </rPh>
    <rPh sb="3" eb="5">
      <t>ジュウショ</t>
    </rPh>
    <phoneticPr fontId="1"/>
  </si>
  <si>
    <t>氏名と電話</t>
    <rPh sb="0" eb="2">
      <t>シメイ</t>
    </rPh>
    <rPh sb="3" eb="5">
      <t>デンワ</t>
    </rPh>
    <phoneticPr fontId="1"/>
  </si>
  <si>
    <t>前の人と空いた時</t>
    <rPh sb="0" eb="1">
      <t>マエ</t>
    </rPh>
    <rPh sb="2" eb="3">
      <t>ヒト</t>
    </rPh>
    <rPh sb="4" eb="5">
      <t>ア</t>
    </rPh>
    <rPh sb="7" eb="8">
      <t>トキ</t>
    </rPh>
    <phoneticPr fontId="1"/>
  </si>
  <si>
    <t>年令計</t>
    <rPh sb="0" eb="2">
      <t>ネンレイ</t>
    </rPh>
    <rPh sb="2" eb="3">
      <t>ケイ</t>
    </rPh>
    <phoneticPr fontId="1"/>
  </si>
  <si>
    <t>139歳以下</t>
    <rPh sb="3" eb="6">
      <t>サイイカ</t>
    </rPh>
    <phoneticPr fontId="1"/>
  </si>
  <si>
    <t>140歳以上</t>
    <rPh sb="3" eb="6">
      <t>サイイジョウ</t>
    </rPh>
    <phoneticPr fontId="1"/>
  </si>
  <si>
    <t>200歳以上</t>
    <rPh sb="3" eb="6">
      <t>サイイジョウ</t>
    </rPh>
    <phoneticPr fontId="1"/>
  </si>
  <si>
    <t>100～150歳</t>
    <rPh sb="7" eb="8">
      <t>サイ</t>
    </rPh>
    <phoneticPr fontId="1"/>
  </si>
  <si>
    <t>151～200歳</t>
    <rPh sb="7" eb="8">
      <t>サイ</t>
    </rPh>
    <phoneticPr fontId="1"/>
  </si>
  <si>
    <t>201歳以上</t>
    <rPh sb="3" eb="6">
      <t>サイイジョウ</t>
    </rPh>
    <phoneticPr fontId="1"/>
  </si>
  <si>
    <t>合計
年齢</t>
    <rPh sb="0" eb="2">
      <t>ゴウケイ</t>
    </rPh>
    <rPh sb="3" eb="5">
      <t>ネンレイ</t>
    </rPh>
    <phoneticPr fontId="1"/>
  </si>
  <si>
    <t>男数</t>
    <rPh sb="0" eb="1">
      <t>オトコ</t>
    </rPh>
    <rPh sb="1" eb="2">
      <t>スウ</t>
    </rPh>
    <phoneticPr fontId="1"/>
  </si>
  <si>
    <t>女数</t>
    <rPh sb="0" eb="1">
      <t>オンナ</t>
    </rPh>
    <rPh sb="1" eb="2">
      <t>スウ</t>
    </rPh>
    <phoneticPr fontId="1"/>
  </si>
  <si>
    <t>エントリータイム</t>
    <phoneticPr fontId="1"/>
  </si>
  <si>
    <t>メドレーｃｈｋ</t>
    <phoneticPr fontId="1"/>
  </si>
  <si>
    <t>フリーｃｈｋ</t>
    <phoneticPr fontId="1"/>
  </si>
  <si>
    <t>性別ｃｈｋ</t>
    <rPh sb="0" eb="2">
      <t>セイベツ</t>
    </rPh>
    <phoneticPr fontId="1"/>
  </si>
  <si>
    <t>区分外</t>
    <rPh sb="0" eb="2">
      <t>クブン</t>
    </rPh>
    <rPh sb="2" eb="3">
      <t>ガイ</t>
    </rPh>
    <phoneticPr fontId="1"/>
  </si>
  <si>
    <t>計時員</t>
    <rPh sb="0" eb="2">
      <t>ケイジ</t>
    </rPh>
    <rPh sb="2" eb="3">
      <t>イン</t>
    </rPh>
    <phoneticPr fontId="1"/>
  </si>
  <si>
    <t>ﾌﾘｶﾞﾅ</t>
    <phoneticPr fontId="1"/>
  </si>
  <si>
    <t>申込期間</t>
    <rPh sb="0" eb="2">
      <t>モウシコミ</t>
    </rPh>
    <rPh sb="2" eb="4">
      <t>キカン</t>
    </rPh>
    <phoneticPr fontId="1"/>
  </si>
  <si>
    <t>ＴＥＬ１</t>
    <phoneticPr fontId="1"/>
  </si>
  <si>
    <t>〒1</t>
    <phoneticPr fontId="1"/>
  </si>
  <si>
    <t>住所1</t>
    <rPh sb="0" eb="2">
      <t>ジュウショ</t>
    </rPh>
    <phoneticPr fontId="1"/>
  </si>
  <si>
    <t>住所2</t>
    <rPh sb="0" eb="2">
      <t>ジュウショ</t>
    </rPh>
    <phoneticPr fontId="1"/>
  </si>
  <si>
    <t>エントリーtimenullチェック</t>
    <phoneticPr fontId="1"/>
  </si>
  <si>
    <t>start</t>
    <phoneticPr fontId="1"/>
  </si>
  <si>
    <t>end</t>
    <phoneticPr fontId="1"/>
  </si>
  <si>
    <t>初版</t>
    <rPh sb="0" eb="2">
      <t>ショハン</t>
    </rPh>
    <phoneticPr fontId="1"/>
  </si>
  <si>
    <t>メドレリレーの１３９歳以下がうまく表示されないのを修正</t>
    <rPh sb="10" eb="11">
      <t>サイ</t>
    </rPh>
    <rPh sb="11" eb="13">
      <t>イカ</t>
    </rPh>
    <rPh sb="17" eb="19">
      <t>ヒョウジ</t>
    </rPh>
    <rPh sb="25" eb="27">
      <t>シュウセイ</t>
    </rPh>
    <phoneticPr fontId="1"/>
  </si>
  <si>
    <t>2014/11/13 男子メドレーリレー、女子メドレーリレーがエラーにならないのを修正</t>
    <rPh sb="11" eb="13">
      <t>ダンシ</t>
    </rPh>
    <rPh sb="21" eb="23">
      <t>ジョシ</t>
    </rPh>
    <rPh sb="41" eb="43">
      <t>シュウセイ</t>
    </rPh>
    <phoneticPr fontId="1"/>
  </si>
  <si>
    <t>2014/11/23 申込注意事項に追加</t>
    <rPh sb="11" eb="13">
      <t>モウシコミ</t>
    </rPh>
    <rPh sb="13" eb="15">
      <t>チュウイ</t>
    </rPh>
    <rPh sb="15" eb="17">
      <t>ジコウ</t>
    </rPh>
    <rPh sb="18" eb="20">
      <t>ツイカ</t>
    </rPh>
    <phoneticPr fontId="1"/>
  </si>
  <si>
    <t>2015/5/29 2015年度用に修正</t>
    <rPh sb="14" eb="16">
      <t>ネンド</t>
    </rPh>
    <rPh sb="16" eb="17">
      <t>ヨウ</t>
    </rPh>
    <rPh sb="18" eb="20">
      <t>シュウセイ</t>
    </rPh>
    <phoneticPr fontId="1"/>
  </si>
  <si>
    <t>申込書の記入の仕方のお願いとご注意</t>
  </si>
  <si>
    <t>【個人種目申込書】</t>
  </si>
  <si>
    <t>【リレー種目申込書】</t>
  </si>
  <si>
    <t>【ご注意】</t>
  </si>
  <si>
    <t>　★シート名、ブック名は変更しないで下さい</t>
  </si>
  <si>
    <t>　★送信前に必ず内容を確認してください</t>
  </si>
  <si>
    <t>申込書は【個人種目申込書】　【リレー申込書】の順に記入して下さい</t>
    <phoneticPr fontId="1"/>
  </si>
  <si>
    <t>性</t>
    <rPh sb="0" eb="1">
      <t>セイ</t>
    </rPh>
    <phoneticPr fontId="1"/>
  </si>
  <si>
    <t>名</t>
    <rPh sb="0" eb="1">
      <t>メイ</t>
    </rPh>
    <phoneticPr fontId="1"/>
  </si>
  <si>
    <t>太郎</t>
    <rPh sb="0" eb="2">
      <t>タロウ</t>
    </rPh>
    <phoneticPr fontId="1"/>
  </si>
  <si>
    <t>正しく表示されない場合は修正して下さい</t>
    <phoneticPr fontId="1"/>
  </si>
  <si>
    <t>年齢＝自動計算されます（入力できません）</t>
    <rPh sb="0" eb="2">
      <t>ネンレイ</t>
    </rPh>
    <rPh sb="12" eb="14">
      <t>ニュウリョク</t>
    </rPh>
    <phoneticPr fontId="1"/>
  </si>
  <si>
    <t>リレー種目のみに出場される方も、必ず個人申込書に記入して下さい</t>
    <phoneticPr fontId="1"/>
  </si>
  <si>
    <t>リレー種目へは、必ず同一所属チームから出場して下さい</t>
    <phoneticPr fontId="1"/>
  </si>
  <si>
    <t>チーム（団体）名</t>
    <rPh sb="4" eb="6">
      <t>ダンタイ</t>
    </rPh>
    <rPh sb="7" eb="8">
      <t>メイ</t>
    </rPh>
    <phoneticPr fontId="1"/>
  </si>
  <si>
    <t>チーム略称</t>
    <phoneticPr fontId="1"/>
  </si>
  <si>
    <t>連絡･問合せできる範囲でご記入下さい</t>
    <phoneticPr fontId="1"/>
  </si>
  <si>
    <t>記入しないで下さい( 自動計算されます)</t>
    <phoneticPr fontId="1"/>
  </si>
  <si>
    <t xml:space="preserve">     ～ E_.Maiｌ</t>
    <phoneticPr fontId="1"/>
  </si>
  <si>
    <t>郵便番号</t>
    <phoneticPr fontId="1"/>
  </si>
  <si>
    <t>参加種目数</t>
    <phoneticPr fontId="1"/>
  </si>
  <si>
    <t>参加費</t>
    <phoneticPr fontId="1"/>
  </si>
  <si>
    <t>参加人数</t>
    <phoneticPr fontId="1"/>
  </si>
  <si>
    <t>所属チーム( 団体) の正式名称を記述して下さい</t>
    <phoneticPr fontId="1"/>
  </si>
  <si>
    <t>６文字以内でご記入下さい( プログラムに印刷されます)</t>
    <phoneticPr fontId="1"/>
  </si>
  <si>
    <t>参加人数が多数となるクラブは計時員のご協力をお願い致します</t>
    <phoneticPr fontId="1"/>
  </si>
  <si>
    <t>また氏名を記入すればフリガナは自動表示されますが、正しく表示</t>
    <phoneticPr fontId="1"/>
  </si>
  <si>
    <t>されない場合は修正して下さい</t>
    <phoneticPr fontId="1"/>
  </si>
  <si>
    <t>姓と名の分けて記入します。フリガナは自動表示されますが</t>
    <rPh sb="4" eb="5">
      <t>ワ</t>
    </rPh>
    <rPh sb="7" eb="9">
      <t>キニュウ</t>
    </rPh>
    <phoneticPr fontId="1"/>
  </si>
  <si>
    <t>マウスでセルをクリックすると▼マークが現れますので選択して下さい</t>
    <phoneticPr fontId="1"/>
  </si>
  <si>
    <t>生年月日・年齢</t>
    <rPh sb="0" eb="2">
      <t>セイネン</t>
    </rPh>
    <rPh sb="2" eb="4">
      <t>ガッピ</t>
    </rPh>
    <rPh sb="5" eb="7">
      <t>ネンレイ</t>
    </rPh>
    <phoneticPr fontId="1"/>
  </si>
  <si>
    <t>西暦で記入して下さい｡ 　1985 年5 月８日は1985/05/08</t>
    <phoneticPr fontId="1"/>
  </si>
  <si>
    <t>自宅のものを記入して下さい</t>
    <phoneticPr fontId="1"/>
  </si>
  <si>
    <t>マウスでセルをクリックすると▼が現れますので選択して下さい</t>
    <phoneticPr fontId="1"/>
  </si>
  <si>
    <t>1/100 秒まで記入して下さい</t>
    <phoneticPr fontId="1"/>
  </si>
  <si>
    <t xml:space="preserve"> 1 分2 秒34 は10234、56 秒78 は5678 と記入して下さい</t>
    <phoneticPr fontId="1"/>
  </si>
  <si>
    <t>その場合Excel.2003 では｢書式｣→｢ふりがな｣→｢編集｣で修正します</t>
    <phoneticPr fontId="1"/>
  </si>
  <si>
    <t>Excel.2007 以降では ふりがなを表示し､リボンから｢ふりがなの編集｣</t>
    <phoneticPr fontId="1"/>
  </si>
  <si>
    <t>を選択して修正します</t>
    <phoneticPr fontId="1"/>
  </si>
  <si>
    <t>リレーチーム名</t>
    <rPh sb="6" eb="7">
      <t>メイ</t>
    </rPh>
    <phoneticPr fontId="1"/>
  </si>
  <si>
    <t>６文字以内にして下さい</t>
    <phoneticPr fontId="1"/>
  </si>
  <si>
    <t>性別・種目・距離</t>
    <rPh sb="0" eb="2">
      <t>セイベツ</t>
    </rPh>
    <rPh sb="3" eb="5">
      <t>シュモク</t>
    </rPh>
    <rPh sb="6" eb="8">
      <t>キョリ</t>
    </rPh>
    <phoneticPr fontId="1"/>
  </si>
  <si>
    <t>〒1・住所1・Tel 1</t>
    <phoneticPr fontId="1"/>
  </si>
  <si>
    <t>〒2・住所2・Tel 2</t>
    <phoneticPr fontId="1"/>
  </si>
  <si>
    <t>マウスでセルをクリックすると▼が現れますので選択して下さい</t>
    <rPh sb="26" eb="27">
      <t>クダ</t>
    </rPh>
    <phoneticPr fontId="1"/>
  </si>
  <si>
    <t>個人種目申込書の記入の仕方と同じです</t>
    <phoneticPr fontId="1"/>
  </si>
  <si>
    <t>第一泳者</t>
    <phoneticPr fontId="1"/>
  </si>
  <si>
    <t xml:space="preserve">      ～第四泳者</t>
    <phoneticPr fontId="1"/>
  </si>
  <si>
    <t>マウスでクリックすると▼マークが現れますので氏名を選択してください</t>
    <rPh sb="25" eb="27">
      <t>センタク</t>
    </rPh>
    <phoneticPr fontId="1"/>
  </si>
  <si>
    <t>合計年齢・区分</t>
    <rPh sb="0" eb="2">
      <t>ゴウケイ</t>
    </rPh>
    <rPh sb="2" eb="4">
      <t>ネンレイ</t>
    </rPh>
    <rPh sb="5" eb="7">
      <t>クブン</t>
    </rPh>
    <phoneticPr fontId="1"/>
  </si>
  <si>
    <t>個人申込書をもとに自動表示されます</t>
    <phoneticPr fontId="1"/>
  </si>
  <si>
    <t>に送信して下さい</t>
    <phoneticPr fontId="1"/>
  </si>
  <si>
    <t>swim_sendai1987@yahoo.co.jp （ここをクリックして下さい)</t>
  </si>
  <si>
    <t>25ｍtimeチェック</t>
    <phoneticPr fontId="1"/>
  </si>
  <si>
    <t>50ｍtimeチェック</t>
    <phoneticPr fontId="1"/>
  </si>
  <si>
    <t>100ｍtimeチェック</t>
    <phoneticPr fontId="1"/>
  </si>
  <si>
    <t>1種目2種目が同一チェック</t>
    <rPh sb="1" eb="3">
      <t>シュモク</t>
    </rPh>
    <rPh sb="4" eb="6">
      <t>シュモク</t>
    </rPh>
    <rPh sb="7" eb="9">
      <t>ドウイツ</t>
    </rPh>
    <phoneticPr fontId="1"/>
  </si>
  <si>
    <t>勤務先</t>
    <rPh sb="0" eb="3">
      <t>キンムサキ</t>
    </rPh>
    <phoneticPr fontId="1"/>
  </si>
  <si>
    <t xml:space="preserve">   または学校名</t>
    <rPh sb="6" eb="9">
      <t>ガッコウメイ</t>
    </rPh>
    <phoneticPr fontId="1"/>
  </si>
  <si>
    <t>仙台市外にお住まいの方は勤務先または学校名のものを記入してください</t>
    <rPh sb="20" eb="21">
      <t>メイ</t>
    </rPh>
    <rPh sb="25" eb="27">
      <t>キニュウ</t>
    </rPh>
    <phoneticPr fontId="1"/>
  </si>
  <si>
    <t>また、住所はマウスをクリックすると区名が表示されますので選択してください</t>
    <rPh sb="3" eb="5">
      <t>ジュウショ</t>
    </rPh>
    <rPh sb="17" eb="18">
      <t>ク</t>
    </rPh>
    <rPh sb="18" eb="19">
      <t>メイ</t>
    </rPh>
    <rPh sb="20" eb="22">
      <t>ヒョウジ</t>
    </rPh>
    <rPh sb="28" eb="30">
      <t>センタク</t>
    </rPh>
    <phoneticPr fontId="1"/>
  </si>
  <si>
    <t>チェック項目</t>
    <rPh sb="4" eb="6">
      <t>コウモク</t>
    </rPh>
    <phoneticPr fontId="1"/>
  </si>
  <si>
    <t>17歳以下のチェック</t>
    <rPh sb="2" eb="3">
      <t>サイ</t>
    </rPh>
    <rPh sb="3" eb="5">
      <t>イカ</t>
    </rPh>
    <phoneticPr fontId="1"/>
  </si>
  <si>
    <t>性が入力されているとき、性別が入力されているかどうか？</t>
    <rPh sb="0" eb="1">
      <t>セイ</t>
    </rPh>
    <rPh sb="2" eb="4">
      <t>ニュウリョク</t>
    </rPh>
    <rPh sb="12" eb="14">
      <t>セイベツ</t>
    </rPh>
    <rPh sb="15" eb="17">
      <t>ニュウリョク</t>
    </rPh>
    <phoneticPr fontId="1"/>
  </si>
  <si>
    <t>性が入力されているとき、生年月日が入力されているかどうか？</t>
    <rPh sb="0" eb="1">
      <t>セイ</t>
    </rPh>
    <rPh sb="2" eb="4">
      <t>ニュウリョク</t>
    </rPh>
    <rPh sb="12" eb="14">
      <t>セイネン</t>
    </rPh>
    <rPh sb="14" eb="16">
      <t>ガッピ</t>
    </rPh>
    <rPh sb="17" eb="19">
      <t>ニュウリョク</t>
    </rPh>
    <phoneticPr fontId="1"/>
  </si>
  <si>
    <t>性が入力されているとき、住所が入力されているかどうか？</t>
    <rPh sb="0" eb="1">
      <t>セイ</t>
    </rPh>
    <rPh sb="2" eb="4">
      <t>ニュウリョク</t>
    </rPh>
    <rPh sb="12" eb="14">
      <t>ジュウショ</t>
    </rPh>
    <rPh sb="15" eb="17">
      <t>ニュウリョク</t>
    </rPh>
    <phoneticPr fontId="1"/>
  </si>
  <si>
    <t>性が入力されているとき、自宅の電話が入力されているかどうか？</t>
    <rPh sb="0" eb="1">
      <t>セイ</t>
    </rPh>
    <rPh sb="2" eb="4">
      <t>ニュウリョク</t>
    </rPh>
    <rPh sb="12" eb="14">
      <t>ジタク</t>
    </rPh>
    <rPh sb="15" eb="17">
      <t>デンワ</t>
    </rPh>
    <rPh sb="18" eb="20">
      <t>ニュウリョク</t>
    </rPh>
    <phoneticPr fontId="1"/>
  </si>
  <si>
    <t>2015/9/11 2015用に大幅に修正</t>
    <rPh sb="14" eb="15">
      <t>ヨウ</t>
    </rPh>
    <rPh sb="16" eb="18">
      <t>オオハバ</t>
    </rPh>
    <rPh sb="19" eb="21">
      <t>シュウセイ</t>
    </rPh>
    <phoneticPr fontId="1"/>
  </si>
  <si>
    <t>　★Mac版Office、及びOffice互換製品での入力は行わないでください</t>
    <rPh sb="5" eb="6">
      <t>ハン</t>
    </rPh>
    <rPh sb="13" eb="14">
      <t>オヨ</t>
    </rPh>
    <rPh sb="21" eb="23">
      <t>ゴカン</t>
    </rPh>
    <rPh sb="23" eb="25">
      <t>セイヒン</t>
    </rPh>
    <rPh sb="27" eb="29">
      <t>ニュウリョク</t>
    </rPh>
    <rPh sb="30" eb="31">
      <t>オコナ</t>
    </rPh>
    <phoneticPr fontId="1"/>
  </si>
  <si>
    <t>　★二人以上の申し込みは必ずExcelファイルにてお申し込みください</t>
    <rPh sb="2" eb="4">
      <t>フタリ</t>
    </rPh>
    <rPh sb="4" eb="6">
      <t>イジョウ</t>
    </rPh>
    <rPh sb="7" eb="8">
      <t>モウ</t>
    </rPh>
    <rPh sb="9" eb="10">
      <t>コ</t>
    </rPh>
    <rPh sb="12" eb="13">
      <t>カナラ</t>
    </rPh>
    <rPh sb="26" eb="27">
      <t>モウ</t>
    </rPh>
    <rPh sb="28" eb="29">
      <t>コ</t>
    </rPh>
    <phoneticPr fontId="1"/>
  </si>
  <si>
    <t>個人種目申込書は詰めてご記入願います</t>
    <rPh sb="0" eb="2">
      <t>コジン</t>
    </rPh>
    <rPh sb="2" eb="4">
      <t>シュモク</t>
    </rPh>
    <rPh sb="4" eb="7">
      <t>モウシコミショ</t>
    </rPh>
    <rPh sb="8" eb="9">
      <t>ツ</t>
    </rPh>
    <rPh sb="12" eb="15">
      <t>キニュウネガ</t>
    </rPh>
    <phoneticPr fontId="1"/>
  </si>
  <si>
    <t>個人申込書ー＞個人種目申込書に変更</t>
    <rPh sb="0" eb="2">
      <t>コジン</t>
    </rPh>
    <rPh sb="2" eb="5">
      <t>モウシコミショ</t>
    </rPh>
    <rPh sb="7" eb="9">
      <t>コジン</t>
    </rPh>
    <rPh sb="9" eb="11">
      <t>シュモク</t>
    </rPh>
    <rPh sb="11" eb="14">
      <t>モウシコミショ</t>
    </rPh>
    <rPh sb="15" eb="17">
      <t>ヘンコウ</t>
    </rPh>
    <phoneticPr fontId="1"/>
  </si>
  <si>
    <t>代表者</t>
    <rPh sb="0" eb="2">
      <t>ダイヒョウ</t>
    </rPh>
    <rPh sb="2" eb="3">
      <t>シャ</t>
    </rPh>
    <phoneticPr fontId="1"/>
  </si>
  <si>
    <t>年齢が17歳以下です</t>
    <rPh sb="0" eb="2">
      <t>ネンレイ</t>
    </rPh>
    <rPh sb="5" eb="8">
      <t>サイイカ</t>
    </rPh>
    <phoneticPr fontId="1"/>
  </si>
  <si>
    <t>性別を指定してください</t>
    <rPh sb="0" eb="2">
      <t>セイベツ</t>
    </rPh>
    <rPh sb="3" eb="5">
      <t>シテイ</t>
    </rPh>
    <phoneticPr fontId="1"/>
  </si>
  <si>
    <t>生年月日を指定してください</t>
    <rPh sb="0" eb="2">
      <t>セイネン</t>
    </rPh>
    <rPh sb="2" eb="4">
      <t>ガッピ</t>
    </rPh>
    <rPh sb="5" eb="7">
      <t>シテイ</t>
    </rPh>
    <phoneticPr fontId="1"/>
  </si>
  <si>
    <t>氏名と郵便番号</t>
    <rPh sb="0" eb="2">
      <t>シメイ</t>
    </rPh>
    <rPh sb="3" eb="7">
      <t>ユウビンバンゴウ</t>
    </rPh>
    <phoneticPr fontId="1"/>
  </si>
  <si>
    <t>氏名と郵便番号１</t>
    <rPh sb="0" eb="2">
      <t>シメイ</t>
    </rPh>
    <rPh sb="3" eb="7">
      <t>ユウビンバンゴウ</t>
    </rPh>
    <phoneticPr fontId="1"/>
  </si>
  <si>
    <t>性が入力されているとき郵便番号1が入力されているかどうか？</t>
    <rPh sb="0" eb="1">
      <t>セイ</t>
    </rPh>
    <rPh sb="2" eb="4">
      <t>ニュウリョク</t>
    </rPh>
    <rPh sb="11" eb="15">
      <t>ユウビンバンゴウ</t>
    </rPh>
    <rPh sb="17" eb="19">
      <t>ニュウリョク</t>
    </rPh>
    <phoneticPr fontId="1"/>
  </si>
  <si>
    <t>郵便番号1を入力してください</t>
    <rPh sb="0" eb="2">
      <t>ユウビン</t>
    </rPh>
    <rPh sb="2" eb="4">
      <t>バンゴウ</t>
    </rPh>
    <rPh sb="6" eb="8">
      <t>ニュウリョク</t>
    </rPh>
    <phoneticPr fontId="1"/>
  </si>
  <si>
    <t>住所1を入力してください</t>
    <rPh sb="0" eb="2">
      <t>ジュウショ</t>
    </rPh>
    <rPh sb="4" eb="6">
      <t>ニュウリョク</t>
    </rPh>
    <phoneticPr fontId="1"/>
  </si>
  <si>
    <t>電話番号を入力してください</t>
    <rPh sb="0" eb="2">
      <t>デンワ</t>
    </rPh>
    <rPh sb="2" eb="4">
      <t>バンゴウ</t>
    </rPh>
    <rPh sb="5" eb="7">
      <t>ニュウリョク</t>
    </rPh>
    <phoneticPr fontId="1"/>
  </si>
  <si>
    <t>022-214-2236</t>
    <phoneticPr fontId="1"/>
  </si>
  <si>
    <t>勤務先と住所</t>
    <rPh sb="0" eb="3">
      <t>キンムサキ</t>
    </rPh>
    <rPh sb="4" eb="6">
      <t>ジュウショ</t>
    </rPh>
    <phoneticPr fontId="1"/>
  </si>
  <si>
    <t>982-0251</t>
    <phoneticPr fontId="1"/>
  </si>
  <si>
    <t>勤務先、または学校名を入力</t>
    <rPh sb="0" eb="3">
      <t>キンムサキ</t>
    </rPh>
    <rPh sb="7" eb="10">
      <t>ガッコウメイ</t>
    </rPh>
    <rPh sb="11" eb="13">
      <t>ニュウリョク</t>
    </rPh>
    <phoneticPr fontId="1"/>
  </si>
  <si>
    <t>東北大学</t>
    <rPh sb="0" eb="2">
      <t>トウホク</t>
    </rPh>
    <rPh sb="2" eb="4">
      <t>ダイガク</t>
    </rPh>
    <phoneticPr fontId="1"/>
  </si>
  <si>
    <t>現住所が仙台市内でなく職場学校の入力</t>
    <rPh sb="0" eb="3">
      <t>ゲンジュウショ</t>
    </rPh>
    <rPh sb="4" eb="8">
      <t>センダイシナイ</t>
    </rPh>
    <rPh sb="11" eb="13">
      <t>ショクバ</t>
    </rPh>
    <rPh sb="13" eb="15">
      <t>ガッコウ</t>
    </rPh>
    <rPh sb="16" eb="18">
      <t>ニュウリョク</t>
    </rPh>
    <phoneticPr fontId="1"/>
  </si>
  <si>
    <t>現住所が仙台市内でなく職場学校の所在地</t>
    <rPh sb="0" eb="3">
      <t>ゲンジュウショ</t>
    </rPh>
    <rPh sb="4" eb="8">
      <t>センダイシナイ</t>
    </rPh>
    <rPh sb="11" eb="13">
      <t>ショクバ</t>
    </rPh>
    <rPh sb="13" eb="15">
      <t>ガッコウ</t>
    </rPh>
    <rPh sb="16" eb="19">
      <t>ショザイチ</t>
    </rPh>
    <phoneticPr fontId="1"/>
  </si>
  <si>
    <t>勤務先、または学校名の区名入力</t>
    <rPh sb="0" eb="3">
      <t>キンムサキ</t>
    </rPh>
    <rPh sb="7" eb="10">
      <t>ガッコウメイ</t>
    </rPh>
    <rPh sb="11" eb="12">
      <t>ク</t>
    </rPh>
    <rPh sb="12" eb="13">
      <t>メイ</t>
    </rPh>
    <rPh sb="13" eb="15">
      <t>ニュウリョク</t>
    </rPh>
    <phoneticPr fontId="1"/>
  </si>
  <si>
    <t>勤務先、学校の区</t>
    <rPh sb="0" eb="3">
      <t>キンムサキ</t>
    </rPh>
    <rPh sb="4" eb="6">
      <t>ガッコウ</t>
    </rPh>
    <rPh sb="7" eb="8">
      <t>ク</t>
    </rPh>
    <phoneticPr fontId="1"/>
  </si>
  <si>
    <t>１種目目が入力されていない</t>
    <rPh sb="1" eb="3">
      <t>シュモク</t>
    </rPh>
    <rPh sb="3" eb="4">
      <t>メ</t>
    </rPh>
    <rPh sb="5" eb="7">
      <t>ニュウリョク</t>
    </rPh>
    <phoneticPr fontId="1"/>
  </si>
  <si>
    <t>１種目目を入力してください</t>
    <rPh sb="1" eb="3">
      <t>シュモク</t>
    </rPh>
    <rPh sb="3" eb="4">
      <t>メ</t>
    </rPh>
    <rPh sb="5" eb="7">
      <t>ニュウリョク</t>
    </rPh>
    <phoneticPr fontId="1"/>
  </si>
  <si>
    <t>距離の入力</t>
    <rPh sb="0" eb="2">
      <t>キョリ</t>
    </rPh>
    <rPh sb="3" eb="5">
      <t>ニュウリョク</t>
    </rPh>
    <phoneticPr fontId="1"/>
  </si>
  <si>
    <t>距離を入力してください</t>
    <rPh sb="0" eb="2">
      <t>キョリ</t>
    </rPh>
    <rPh sb="3" eb="5">
      <t>ニュウリョク</t>
    </rPh>
    <phoneticPr fontId="1"/>
  </si>
  <si>
    <t>エントリタイム</t>
    <phoneticPr fontId="1"/>
  </si>
  <si>
    <t>エントリータイムを入力してください</t>
    <rPh sb="9" eb="11">
      <t>ニュウリョク</t>
    </rPh>
    <phoneticPr fontId="1"/>
  </si>
  <si>
    <t>1種目目のチェック</t>
    <rPh sb="1" eb="3">
      <t>シュモク</t>
    </rPh>
    <rPh sb="3" eb="4">
      <t>メ</t>
    </rPh>
    <phoneticPr fontId="1"/>
  </si>
  <si>
    <t>距離のチェック</t>
    <rPh sb="0" eb="2">
      <t>キョリ</t>
    </rPh>
    <phoneticPr fontId="1"/>
  </si>
  <si>
    <t>25mエントリータイムが早すぎます</t>
    <rPh sb="12" eb="13">
      <t>ハヤ</t>
    </rPh>
    <phoneticPr fontId="1"/>
  </si>
  <si>
    <t>50mエントリータイムが早すぎます</t>
    <rPh sb="12" eb="13">
      <t>ハヤ</t>
    </rPh>
    <phoneticPr fontId="1"/>
  </si>
  <si>
    <t>100mエントリータイムが早すぎます</t>
    <rPh sb="13" eb="14">
      <t>ハヤ</t>
    </rPh>
    <phoneticPr fontId="1"/>
  </si>
  <si>
    <t>個人メドレーと距離</t>
    <rPh sb="0" eb="2">
      <t>コジン</t>
    </rPh>
    <rPh sb="7" eb="9">
      <t>キョリ</t>
    </rPh>
    <phoneticPr fontId="1"/>
  </si>
  <si>
    <t>個人メドレーは距離を１００ｍにしてください</t>
    <rPh sb="0" eb="2">
      <t>コジン</t>
    </rPh>
    <rPh sb="7" eb="9">
      <t>キョリ</t>
    </rPh>
    <phoneticPr fontId="1"/>
  </si>
  <si>
    <t>エントリータイム数字チェック</t>
    <rPh sb="8" eb="10">
      <t>スウジ</t>
    </rPh>
    <phoneticPr fontId="1"/>
  </si>
  <si>
    <t>エントリータイム数値チェック</t>
    <rPh sb="8" eb="10">
      <t>スウチ</t>
    </rPh>
    <phoneticPr fontId="1"/>
  </si>
  <si>
    <t>エントリータイムは数値で入力してください</t>
    <rPh sb="9" eb="11">
      <t>スウチ</t>
    </rPh>
    <rPh sb="12" eb="14">
      <t>ニュウリョク</t>
    </rPh>
    <phoneticPr fontId="1"/>
  </si>
  <si>
    <t>先に1種目目を入力してください</t>
    <rPh sb="0" eb="1">
      <t>サキ</t>
    </rPh>
    <rPh sb="3" eb="5">
      <t>シュモク</t>
    </rPh>
    <rPh sb="5" eb="6">
      <t>メ</t>
    </rPh>
    <rPh sb="7" eb="9">
      <t>ニュウリョク</t>
    </rPh>
    <phoneticPr fontId="1"/>
  </si>
  <si>
    <t>種目入力チェック</t>
    <rPh sb="0" eb="2">
      <t>シュモク</t>
    </rPh>
    <rPh sb="2" eb="4">
      <t>ニュウリョク</t>
    </rPh>
    <phoneticPr fontId="1"/>
  </si>
  <si>
    <t>種目を入力してください</t>
    <rPh sb="0" eb="2">
      <t>シュモク</t>
    </rPh>
    <rPh sb="3" eb="5">
      <t>ニュウリョク</t>
    </rPh>
    <phoneticPr fontId="1"/>
  </si>
  <si>
    <t>仙台</t>
    <rPh sb="0" eb="2">
      <t>センダイ</t>
    </rPh>
    <phoneticPr fontId="1"/>
  </si>
  <si>
    <t>宮城県仙台市太白区茂庭</t>
    <rPh sb="0" eb="3">
      <t>ミヤギケン</t>
    </rPh>
    <rPh sb="3" eb="6">
      <t>センダイシ</t>
    </rPh>
    <rPh sb="6" eb="8">
      <t>タイハク</t>
    </rPh>
    <rPh sb="8" eb="9">
      <t>ク</t>
    </rPh>
    <rPh sb="9" eb="10">
      <t>シゲル</t>
    </rPh>
    <rPh sb="10" eb="11">
      <t>ニワ</t>
    </rPh>
    <phoneticPr fontId="1"/>
  </si>
  <si>
    <t>行をあけないでください</t>
    <rPh sb="0" eb="1">
      <t>ギョウ</t>
    </rPh>
    <phoneticPr fontId="1"/>
  </si>
  <si>
    <t>行空きのチェック</t>
    <rPh sb="0" eb="1">
      <t>ギョウ</t>
    </rPh>
    <rPh sb="1" eb="2">
      <t>ア</t>
    </rPh>
    <phoneticPr fontId="1"/>
  </si>
  <si>
    <t>1種目目と同一です</t>
    <rPh sb="1" eb="3">
      <t>シュモク</t>
    </rPh>
    <rPh sb="3" eb="4">
      <t>メ</t>
    </rPh>
    <rPh sb="5" eb="7">
      <t>ドウイツ</t>
    </rPh>
    <phoneticPr fontId="1"/>
  </si>
  <si>
    <t>1種目と同一チェック</t>
    <rPh sb="1" eb="3">
      <t>シュモク</t>
    </rPh>
    <rPh sb="4" eb="6">
      <t>ドウイツ</t>
    </rPh>
    <phoneticPr fontId="1"/>
  </si>
  <si>
    <t>2016 年10 月10 日～ 10 月31 日の間でご記入下さい</t>
    <phoneticPr fontId="1"/>
  </si>
  <si>
    <t>　 　 入力形式は　2016/10/18　です</t>
    <phoneticPr fontId="1"/>
  </si>
  <si>
    <t>　★申込書の件名は「第53 回仙台市民総合体育大会 水泳競技大会 申込」とし</t>
    <phoneticPr fontId="1"/>
  </si>
  <si>
    <t>第53回　仙台市民総合体育大会水泳競技大会 申込書</t>
    <rPh sb="0" eb="1">
      <t>ダイ</t>
    </rPh>
    <rPh sb="3" eb="4">
      <t>カイ</t>
    </rPh>
    <rPh sb="5" eb="7">
      <t>センダイ</t>
    </rPh>
    <rPh sb="7" eb="9">
      <t>シミン</t>
    </rPh>
    <rPh sb="9" eb="11">
      <t>ソウゴウ</t>
    </rPh>
    <rPh sb="11" eb="13">
      <t>タイイク</t>
    </rPh>
    <rPh sb="13" eb="15">
      <t>タイカイ</t>
    </rPh>
    <rPh sb="15" eb="17">
      <t>スイエイ</t>
    </rPh>
    <rPh sb="17" eb="19">
      <t>キョウギ</t>
    </rPh>
    <rPh sb="19" eb="21">
      <t>タイカイ</t>
    </rPh>
    <rPh sb="22" eb="25">
      <t>モウシコミショ</t>
    </rPh>
    <phoneticPr fontId="1"/>
  </si>
  <si>
    <t>申込注意事項 第52回を第53回に変更 1か所</t>
    <rPh sb="0" eb="2">
      <t>モウシコミ</t>
    </rPh>
    <rPh sb="2" eb="4">
      <t>チュウイ</t>
    </rPh>
    <rPh sb="4" eb="6">
      <t>ジコウ</t>
    </rPh>
    <rPh sb="7" eb="8">
      <t>ダイ</t>
    </rPh>
    <rPh sb="10" eb="11">
      <t>カイ</t>
    </rPh>
    <rPh sb="12" eb="13">
      <t>ダイ</t>
    </rPh>
    <rPh sb="15" eb="16">
      <t>カイ</t>
    </rPh>
    <rPh sb="17" eb="19">
      <t>ヘンコウ</t>
    </rPh>
    <rPh sb="22" eb="23">
      <t>ショ</t>
    </rPh>
    <phoneticPr fontId="1"/>
  </si>
  <si>
    <t>申込注意事項 申込日付2カ所2015=&gt;2016に変更</t>
    <rPh sb="0" eb="6">
      <t>モウシコミチュウイジコウ</t>
    </rPh>
    <rPh sb="7" eb="9">
      <t>モウシコミ</t>
    </rPh>
    <rPh sb="9" eb="11">
      <t>ヒヅケ</t>
    </rPh>
    <rPh sb="13" eb="14">
      <t>ショ</t>
    </rPh>
    <rPh sb="25" eb="27">
      <t>ヘンコウ</t>
    </rPh>
    <phoneticPr fontId="1"/>
  </si>
  <si>
    <t>個人種目申込書 タイトルを第53回に変更</t>
    <rPh sb="0" eb="2">
      <t>コジン</t>
    </rPh>
    <rPh sb="2" eb="4">
      <t>シュモク</t>
    </rPh>
    <rPh sb="4" eb="7">
      <t>モウシコミショ</t>
    </rPh>
    <rPh sb="13" eb="14">
      <t>ダイ</t>
    </rPh>
    <rPh sb="16" eb="17">
      <t>カイ</t>
    </rPh>
    <rPh sb="18" eb="20">
      <t>ヘンコウ</t>
    </rPh>
    <phoneticPr fontId="1"/>
  </si>
  <si>
    <t>個人種目申込書 氏名の入力項目でロックがかかっているのを解除　</t>
    <rPh sb="0" eb="2">
      <t>コジン</t>
    </rPh>
    <rPh sb="2" eb="4">
      <t>シュモク</t>
    </rPh>
    <rPh sb="4" eb="7">
      <t>モウシコミショ</t>
    </rPh>
    <rPh sb="8" eb="10">
      <t>シメイ</t>
    </rPh>
    <rPh sb="11" eb="13">
      <t>ニュウリョク</t>
    </rPh>
    <rPh sb="13" eb="15">
      <t>コウモク</t>
    </rPh>
    <rPh sb="28" eb="30">
      <t>カイジョ</t>
    </rPh>
    <phoneticPr fontId="1"/>
  </si>
  <si>
    <t>申込締切日年齢計算用</t>
    <rPh sb="0" eb="2">
      <t>モウシコミ</t>
    </rPh>
    <rPh sb="2" eb="5">
      <t>シメキリビ</t>
    </rPh>
    <rPh sb="5" eb="7">
      <t>ネンレイ</t>
    </rPh>
    <rPh sb="7" eb="10">
      <t>ケイサンヨウ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</si>
</sst>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0\ &quot;部&quot;"/>
    <numFmt numFmtId="177" formatCode="0&quot;ｍ&quot;"/>
    <numFmt numFmtId="178" formatCode="0."/>
    <numFmt numFmtId="179" formatCode="#0&quot;分&quot;00&quot;秒&quot;00"/>
    <numFmt numFmtId="180" formatCode="0_);[Red]\(0\)"/>
    <numFmt numFmtId="181" formatCode="0;&quot;&quot;;&quot;&quot;"/>
    <numFmt numFmtId="182" formatCode="0\ &quot;人&quot;;&quot;人”;”人&quot;"/>
    <numFmt numFmtId="183" formatCode="&quot;¥&quot;#,##0;&quot;¥&quot;\-#,##0;&quot;&quot;"/>
  </numFmts>
  <fonts count="27"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u/>
      <sz val="11"/>
      <color indexed="12"/>
      <name val="ＭＳ Ｐゴシック"/>
      <family val="3"/>
      <charset val="128"/>
    </font>
    <font>
      <b/>
      <sz val="14"/>
      <name val="ＭＳ Ｐゴシック"/>
      <family val="3"/>
      <charset val="128"/>
    </font>
    <font>
      <b/>
      <sz val="9"/>
      <color indexed="81"/>
      <name val="ＭＳ Ｐゴシック"/>
      <family val="3"/>
      <charset val="128"/>
    </font>
    <font>
      <sz val="11"/>
      <color indexed="12"/>
      <name val="ＭＳ Ｐゴシック"/>
      <family val="3"/>
      <charset val="128"/>
    </font>
    <font>
      <sz val="14"/>
      <name val="ＭＳ Ｐゴシック"/>
      <family val="3"/>
      <charset val="128"/>
    </font>
    <font>
      <u/>
      <sz val="11"/>
      <name val="ＭＳ Ｐゴシック"/>
      <family val="3"/>
      <charset val="128"/>
    </font>
    <font>
      <sz val="1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double">
        <color indexed="64"/>
      </right>
      <top/>
      <bottom/>
      <diagonal/>
    </border>
    <border>
      <left/>
      <right style="medium">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cellStyleXfs>
  <cellXfs count="290">
    <xf numFmtId="0" fontId="0" fillId="0" borderId="0" xfId="0"/>
    <xf numFmtId="0" fontId="0" fillId="0" borderId="10" xfId="0" applyBorder="1"/>
    <xf numFmtId="0" fontId="0" fillId="0" borderId="10" xfId="0" applyBorder="1" applyAlignment="1">
      <alignment horizontal="center"/>
    </xf>
    <xf numFmtId="0" fontId="0" fillId="0" borderId="11" xfId="0" applyBorder="1"/>
    <xf numFmtId="0" fontId="0" fillId="0" borderId="12" xfId="0" applyBorder="1"/>
    <xf numFmtId="0" fontId="0" fillId="0" borderId="12" xfId="0" applyBorder="1" applyAlignment="1">
      <alignment horizontal="center"/>
    </xf>
    <xf numFmtId="0" fontId="0" fillId="0" borderId="10" xfId="0" applyBorder="1" applyAlignment="1" applyProtection="1">
      <alignment horizontal="center" shrinkToFit="1"/>
      <protection locked="0"/>
    </xf>
    <xf numFmtId="0" fontId="0" fillId="0" borderId="10" xfId="0" applyBorder="1" applyAlignment="1">
      <alignment shrinkToFit="1"/>
    </xf>
    <xf numFmtId="0" fontId="0" fillId="0" borderId="0" xfId="0" applyBorder="1"/>
    <xf numFmtId="0" fontId="0" fillId="0" borderId="0" xfId="0" applyAlignment="1">
      <alignment horizontal="center"/>
    </xf>
    <xf numFmtId="0" fontId="0" fillId="0" borderId="0" xfId="0" applyAlignment="1">
      <alignment shrinkToFit="1"/>
    </xf>
    <xf numFmtId="0" fontId="0" fillId="0" borderId="10" xfId="0" applyBorder="1" applyAlignment="1">
      <alignment horizontal="right"/>
    </xf>
    <xf numFmtId="0" fontId="0" fillId="0" borderId="10" xfId="0" applyBorder="1" applyProtection="1">
      <protection locked="0"/>
    </xf>
    <xf numFmtId="0" fontId="0" fillId="0" borderId="10" xfId="0" applyBorder="1" applyAlignment="1" applyProtection="1">
      <alignment horizontal="center"/>
      <protection locked="0"/>
    </xf>
    <xf numFmtId="0" fontId="0" fillId="0" borderId="10" xfId="0" applyBorder="1" applyAlignment="1"/>
    <xf numFmtId="178" fontId="0" fillId="0" borderId="0" xfId="0" applyNumberFormat="1"/>
    <xf numFmtId="0" fontId="0" fillId="0" borderId="10" xfId="0" applyBorder="1" applyAlignment="1">
      <alignment horizontal="left" indent="2"/>
    </xf>
    <xf numFmtId="0" fontId="0" fillId="0" borderId="12" xfId="0" applyBorder="1" applyAlignment="1">
      <alignment horizontal="left" indent="2"/>
    </xf>
    <xf numFmtId="0" fontId="0" fillId="0" borderId="0" xfId="0" applyBorder="1" applyAlignment="1">
      <alignment horizontal="center"/>
    </xf>
    <xf numFmtId="0" fontId="0" fillId="0" borderId="0" xfId="0" applyBorder="1" applyAlignment="1" applyProtection="1">
      <alignment horizontal="center"/>
      <protection locked="0"/>
    </xf>
    <xf numFmtId="179" fontId="0" fillId="0" borderId="10" xfId="0" applyNumberFormat="1" applyBorder="1" applyAlignment="1" applyProtection="1">
      <alignment horizontal="right" shrinkToFit="1"/>
      <protection locked="0"/>
    </xf>
    <xf numFmtId="0" fontId="0" fillId="0" borderId="10" xfId="0" applyBorder="1" applyAlignment="1" applyProtection="1">
      <alignment horizontal="center"/>
    </xf>
    <xf numFmtId="0" fontId="26" fillId="0" borderId="13" xfId="0" applyFont="1" applyBorder="1" applyAlignment="1">
      <alignment horizontal="left" indent="2"/>
    </xf>
    <xf numFmtId="0" fontId="0" fillId="0" borderId="10" xfId="0" applyBorder="1" applyAlignment="1">
      <alignment horizontal="center" wrapText="1"/>
    </xf>
    <xf numFmtId="0" fontId="0" fillId="0" borderId="0" xfId="0" applyBorder="1" applyAlignment="1">
      <alignment horizontal="left" indent="2"/>
    </xf>
    <xf numFmtId="0" fontId="21" fillId="0" borderId="0" xfId="0" applyFont="1" applyAlignment="1">
      <alignment horizontal="center" vertical="center"/>
    </xf>
    <xf numFmtId="0" fontId="0" fillId="0" borderId="14" xfId="0" applyBorder="1" applyAlignment="1">
      <alignment horizontal="center"/>
    </xf>
    <xf numFmtId="0" fontId="0" fillId="0" borderId="0" xfId="0" applyBorder="1" applyAlignment="1">
      <alignment shrinkToFit="1"/>
    </xf>
    <xf numFmtId="0" fontId="0" fillId="0" borderId="0" xfId="0" applyBorder="1" applyAlignment="1">
      <alignment horizontal="right" indent="1"/>
    </xf>
    <xf numFmtId="5" fontId="0" fillId="0" borderId="0" xfId="0" applyNumberFormat="1" applyBorder="1"/>
    <xf numFmtId="5" fontId="23" fillId="0" borderId="0" xfId="0" applyNumberFormat="1" applyFont="1" applyFill="1" applyBorder="1"/>
    <xf numFmtId="177" fontId="0" fillId="0" borderId="10" xfId="0" applyNumberFormat="1" applyBorder="1" applyProtection="1">
      <protection locked="0"/>
    </xf>
    <xf numFmtId="14" fontId="0" fillId="0" borderId="0" xfId="0" applyNumberFormat="1"/>
    <xf numFmtId="0" fontId="0" fillId="0" borderId="15" xfId="0" applyBorder="1" applyAlignment="1">
      <alignment horizontal="center"/>
    </xf>
    <xf numFmtId="0" fontId="0" fillId="0" borderId="12" xfId="0" applyBorder="1" applyAlignment="1"/>
    <xf numFmtId="0" fontId="0" fillId="0" borderId="16" xfId="0" applyBorder="1" applyAlignment="1">
      <alignment horizontal="center"/>
    </xf>
    <xf numFmtId="0" fontId="0" fillId="0" borderId="17" xfId="0" applyBorder="1" applyAlignment="1">
      <alignment horizontal="center"/>
    </xf>
    <xf numFmtId="0" fontId="19" fillId="24" borderId="18" xfId="0" applyFont="1" applyFill="1" applyBorder="1" applyAlignment="1" applyProtection="1">
      <alignment shrinkToFit="1"/>
    </xf>
    <xf numFmtId="0" fontId="19" fillId="25" borderId="18" xfId="0" applyFont="1" applyFill="1" applyBorder="1" applyAlignment="1" applyProtection="1">
      <alignment shrinkToFit="1"/>
    </xf>
    <xf numFmtId="0" fontId="0" fillId="24" borderId="11" xfId="0" applyFill="1" applyBorder="1" applyAlignment="1" applyProtection="1">
      <alignment horizontal="center" shrinkToFit="1"/>
      <protection locked="0"/>
    </xf>
    <xf numFmtId="14" fontId="19" fillId="24" borderId="18" xfId="0" applyNumberFormat="1" applyFont="1" applyFill="1" applyBorder="1" applyAlignment="1" applyProtection="1">
      <alignment shrinkToFit="1"/>
      <protection locked="0"/>
    </xf>
    <xf numFmtId="0" fontId="0" fillId="24" borderId="19" xfId="0" applyFill="1" applyBorder="1" applyAlignment="1" applyProtection="1">
      <alignment horizontal="center" shrinkToFit="1"/>
      <protection locked="0"/>
    </xf>
    <xf numFmtId="0" fontId="0" fillId="24" borderId="20" xfId="0" applyNumberFormat="1" applyFill="1" applyBorder="1" applyAlignment="1" applyProtection="1">
      <alignment horizontal="center" shrinkToFit="1"/>
    </xf>
    <xf numFmtId="0" fontId="19" fillId="24" borderId="18" xfId="0" applyFont="1" applyFill="1" applyBorder="1" applyAlignment="1" applyProtection="1">
      <alignment horizontal="center" shrinkToFit="1"/>
      <protection locked="0"/>
    </xf>
    <xf numFmtId="0" fontId="19" fillId="24" borderId="10" xfId="0" applyFont="1" applyFill="1" applyBorder="1" applyAlignment="1" applyProtection="1">
      <alignment horizontal="center" shrinkToFit="1"/>
      <protection locked="0"/>
    </xf>
    <xf numFmtId="0" fontId="0" fillId="24" borderId="0" xfId="0" applyFill="1"/>
    <xf numFmtId="0" fontId="0" fillId="24" borderId="14" xfId="0" applyFill="1" applyBorder="1" applyAlignment="1" applyProtection="1">
      <alignment horizontal="center" shrinkToFit="1"/>
      <protection locked="0"/>
    </xf>
    <xf numFmtId="0" fontId="0" fillId="24" borderId="0" xfId="0" applyFill="1" applyBorder="1" applyAlignment="1" applyProtection="1">
      <alignment horizontal="center" shrinkToFit="1"/>
      <protection locked="0"/>
    </xf>
    <xf numFmtId="0" fontId="19" fillId="25" borderId="18" xfId="0" applyFont="1" applyFill="1" applyBorder="1" applyAlignment="1" applyProtection="1">
      <alignment horizontal="center" shrinkToFit="1"/>
      <protection locked="0"/>
    </xf>
    <xf numFmtId="14" fontId="19" fillId="25" borderId="18" xfId="0" applyNumberFormat="1" applyFont="1" applyFill="1" applyBorder="1" applyAlignment="1" applyProtection="1">
      <alignment shrinkToFit="1"/>
      <protection locked="0"/>
    </xf>
    <xf numFmtId="0" fontId="0" fillId="25" borderId="20" xfId="0" applyNumberFormat="1" applyFill="1" applyBorder="1" applyAlignment="1" applyProtection="1">
      <alignment horizontal="center" shrinkToFit="1"/>
    </xf>
    <xf numFmtId="0" fontId="0" fillId="25" borderId="0" xfId="0" applyFill="1"/>
    <xf numFmtId="0" fontId="0" fillId="25" borderId="14" xfId="0" applyFill="1" applyBorder="1" applyAlignment="1" applyProtection="1">
      <alignment horizontal="center" shrinkToFit="1"/>
      <protection locked="0"/>
    </xf>
    <xf numFmtId="0" fontId="0" fillId="25" borderId="0" xfId="0" applyFill="1" applyBorder="1" applyAlignment="1" applyProtection="1">
      <alignment horizontal="center" shrinkToFit="1"/>
      <protection locked="0"/>
    </xf>
    <xf numFmtId="0" fontId="19" fillId="25" borderId="10" xfId="0" applyFont="1" applyFill="1" applyBorder="1" applyAlignment="1" applyProtection="1">
      <alignment horizontal="center" shrinkToFit="1"/>
      <protection locked="0"/>
    </xf>
    <xf numFmtId="0" fontId="0" fillId="25" borderId="11" xfId="0" applyFill="1" applyBorder="1" applyAlignment="1" applyProtection="1">
      <alignment horizontal="center" shrinkToFit="1"/>
      <protection locked="0"/>
    </xf>
    <xf numFmtId="0" fontId="0" fillId="25" borderId="19" xfId="0" applyFill="1" applyBorder="1" applyAlignment="1" applyProtection="1">
      <alignment horizontal="center" shrinkToFit="1"/>
      <protection locked="0"/>
    </xf>
    <xf numFmtId="0" fontId="0" fillId="0" borderId="15" xfId="0" applyBorder="1"/>
    <xf numFmtId="1" fontId="0" fillId="0" borderId="15" xfId="0" applyNumberFormat="1" applyBorder="1" applyAlignment="1">
      <alignment horizontal="center"/>
    </xf>
    <xf numFmtId="0" fontId="0" fillId="0" borderId="21" xfId="0" applyBorder="1"/>
    <xf numFmtId="1"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2" xfId="0" applyBorder="1" applyAlignment="1" applyProtection="1">
      <alignment horizontal="center"/>
    </xf>
    <xf numFmtId="0" fontId="0" fillId="0" borderId="0" xfId="0" applyBorder="1" applyAlignment="1" applyProtection="1">
      <alignment horizontal="center"/>
    </xf>
    <xf numFmtId="0" fontId="0" fillId="0" borderId="23" xfId="0" applyBorder="1" applyAlignment="1" applyProtection="1">
      <alignment horizontal="center"/>
    </xf>
    <xf numFmtId="0" fontId="25" fillId="0" borderId="0" xfId="0" applyFont="1" applyBorder="1"/>
    <xf numFmtId="0" fontId="0" fillId="0" borderId="13" xfId="0" applyBorder="1"/>
    <xf numFmtId="181" fontId="0" fillId="0" borderId="10" xfId="0" applyNumberFormat="1" applyBorder="1" applyAlignment="1" applyProtection="1">
      <alignment horizontal="center"/>
    </xf>
    <xf numFmtId="0" fontId="0" fillId="0" borderId="10" xfId="0" applyNumberFormat="1" applyBorder="1" applyAlignment="1" applyProtection="1">
      <alignment horizontal="center"/>
    </xf>
    <xf numFmtId="0" fontId="0" fillId="0" borderId="0" xfId="0" applyAlignment="1"/>
    <xf numFmtId="0" fontId="0" fillId="0" borderId="0" xfId="0" applyProtection="1"/>
    <xf numFmtId="0" fontId="0" fillId="0" borderId="24" xfId="0" applyBorder="1" applyAlignment="1" applyProtection="1">
      <alignment horizontal="center"/>
    </xf>
    <xf numFmtId="0" fontId="0" fillId="0" borderId="0" xfId="0" applyAlignment="1" applyProtection="1"/>
    <xf numFmtId="0" fontId="0" fillId="0" borderId="0" xfId="0" applyBorder="1" applyAlignment="1" applyProtection="1">
      <alignment shrinkToFit="1"/>
    </xf>
    <xf numFmtId="14" fontId="0" fillId="0" borderId="0" xfId="0" applyNumberFormat="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0" xfId="0" applyBorder="1" applyAlignment="1" applyProtection="1">
      <alignment horizontal="right" indent="1"/>
    </xf>
    <xf numFmtId="0" fontId="0" fillId="0" borderId="28" xfId="0" applyBorder="1" applyProtection="1"/>
    <xf numFmtId="0" fontId="0" fillId="0" borderId="29" xfId="0" applyBorder="1" applyProtection="1"/>
    <xf numFmtId="0" fontId="0" fillId="0" borderId="0" xfId="0" applyBorder="1" applyProtection="1"/>
    <xf numFmtId="5" fontId="0" fillId="0" borderId="0" xfId="0" applyNumberFormat="1" applyBorder="1" applyProtection="1"/>
    <xf numFmtId="0" fontId="0" fillId="0" borderId="30" xfId="0" applyBorder="1" applyProtection="1"/>
    <xf numFmtId="0" fontId="0" fillId="0" borderId="24" xfId="0" applyBorder="1" applyProtection="1"/>
    <xf numFmtId="5" fontId="23" fillId="0" borderId="0" xfId="0" applyNumberFormat="1" applyFont="1" applyFill="1" applyBorder="1" applyProtection="1"/>
    <xf numFmtId="49" fontId="0" fillId="0" borderId="0" xfId="0" applyNumberFormat="1" applyBorder="1" applyAlignment="1" applyProtection="1">
      <alignment horizontal="center" shrinkToFit="1"/>
    </xf>
    <xf numFmtId="0" fontId="0" fillId="0" borderId="31" xfId="0" applyBorder="1" applyProtection="1"/>
    <xf numFmtId="0" fontId="0" fillId="0" borderId="28" xfId="0" applyFill="1" applyBorder="1" applyProtection="1"/>
    <xf numFmtId="0" fontId="0" fillId="0" borderId="31" xfId="0" applyFill="1" applyBorder="1" applyProtection="1"/>
    <xf numFmtId="0" fontId="0" fillId="0" borderId="32" xfId="0" applyBorder="1" applyProtection="1"/>
    <xf numFmtId="0" fontId="0" fillId="0" borderId="27" xfId="0" applyFill="1" applyBorder="1" applyProtection="1"/>
    <xf numFmtId="0" fontId="0" fillId="0" borderId="32" xfId="0" applyFill="1" applyBorder="1" applyProtection="1"/>
    <xf numFmtId="0" fontId="0" fillId="24" borderId="0" xfId="0" applyFill="1" applyProtection="1"/>
    <xf numFmtId="0" fontId="0" fillId="25" borderId="0" xfId="0" applyFill="1" applyProtection="1"/>
    <xf numFmtId="0" fontId="0" fillId="24" borderId="14" xfId="0" applyFill="1" applyBorder="1" applyAlignment="1" applyProtection="1">
      <alignment horizontal="center" shrinkToFit="1"/>
    </xf>
    <xf numFmtId="0" fontId="0" fillId="24" borderId="33" xfId="0" applyFill="1" applyBorder="1" applyAlignment="1" applyProtection="1">
      <alignment horizontal="center" shrinkToFit="1"/>
    </xf>
    <xf numFmtId="0" fontId="0" fillId="24" borderId="0" xfId="0" applyFill="1" applyBorder="1" applyAlignment="1" applyProtection="1">
      <alignment horizontal="center" shrinkToFit="1"/>
    </xf>
    <xf numFmtId="0" fontId="0" fillId="0" borderId="0" xfId="0" applyBorder="1" applyAlignment="1" applyProtection="1">
      <alignment horizontal="center" shrinkToFit="1"/>
    </xf>
    <xf numFmtId="0" fontId="0" fillId="25" borderId="14" xfId="0" applyFill="1" applyBorder="1" applyAlignment="1" applyProtection="1">
      <alignment horizontal="center" shrinkToFit="1"/>
    </xf>
    <xf numFmtId="0" fontId="0" fillId="25" borderId="33" xfId="0" applyFill="1" applyBorder="1" applyAlignment="1" applyProtection="1">
      <alignment horizontal="center" shrinkToFit="1"/>
    </xf>
    <xf numFmtId="0" fontId="0" fillId="25" borderId="0" xfId="0" applyFill="1" applyBorder="1" applyAlignment="1" applyProtection="1">
      <alignment horizontal="center" shrinkToFit="1"/>
    </xf>
    <xf numFmtId="0" fontId="0" fillId="0" borderId="34" xfId="0" applyBorder="1" applyProtection="1"/>
    <xf numFmtId="0" fontId="19" fillId="24" borderId="18" xfId="0" applyFont="1" applyFill="1" applyBorder="1" applyAlignment="1" applyProtection="1">
      <alignment horizontal="center" shrinkToFit="1"/>
    </xf>
    <xf numFmtId="14" fontId="19" fillId="24" borderId="18" xfId="0" applyNumberFormat="1" applyFont="1" applyFill="1" applyBorder="1" applyAlignment="1" applyProtection="1">
      <alignment shrinkToFit="1"/>
    </xf>
    <xf numFmtId="0" fontId="0" fillId="24" borderId="11" xfId="0" applyFill="1" applyBorder="1" applyAlignment="1" applyProtection="1">
      <alignment horizontal="center" shrinkToFit="1"/>
    </xf>
    <xf numFmtId="0" fontId="0" fillId="27" borderId="0" xfId="0" applyFill="1"/>
    <xf numFmtId="0" fontId="20" fillId="0" borderId="0" xfId="28" applyAlignment="1" applyProtection="1"/>
    <xf numFmtId="0" fontId="0" fillId="0" borderId="10" xfId="0" applyBorder="1" applyAlignment="1">
      <alignment horizontal="center" vertical="center"/>
    </xf>
    <xf numFmtId="178" fontId="0" fillId="27" borderId="0" xfId="0" applyNumberFormat="1" applyFill="1"/>
    <xf numFmtId="0" fontId="0" fillId="0" borderId="0" xfId="0" applyNumberFormat="1" applyAlignment="1">
      <alignment shrinkToFit="1"/>
    </xf>
    <xf numFmtId="0" fontId="0" fillId="0" borderId="0" xfId="0" applyNumberFormat="1"/>
    <xf numFmtId="14" fontId="0" fillId="24" borderId="18" xfId="0" applyNumberFormat="1" applyFont="1" applyFill="1" applyBorder="1" applyAlignment="1" applyProtection="1">
      <alignment shrinkToFit="1"/>
      <protection locked="0"/>
    </xf>
    <xf numFmtId="14" fontId="0" fillId="25" borderId="18" xfId="0" applyNumberFormat="1" applyFont="1" applyFill="1" applyBorder="1" applyAlignment="1" applyProtection="1">
      <alignment shrinkToFit="1"/>
      <protection locked="0"/>
    </xf>
    <xf numFmtId="0" fontId="0" fillId="0" borderId="0" xfId="0" applyBorder="1" applyAlignment="1" applyProtection="1">
      <alignment horizontal="left"/>
    </xf>
    <xf numFmtId="49" fontId="0" fillId="0" borderId="0" xfId="0" applyNumberFormat="1" applyBorder="1" applyAlignment="1" applyProtection="1">
      <alignment horizontal="left" shrinkToFit="1"/>
    </xf>
    <xf numFmtId="0" fontId="0" fillId="0" borderId="0" xfId="0" applyAlignment="1">
      <alignment horizontal="left"/>
    </xf>
    <xf numFmtId="182" fontId="0" fillId="0" borderId="10" xfId="0" applyNumberFormat="1" applyFill="1" applyBorder="1" applyAlignment="1">
      <alignment horizontal="center"/>
    </xf>
    <xf numFmtId="0" fontId="0" fillId="0" borderId="0" xfId="0" applyBorder="1" applyAlignment="1" applyProtection="1">
      <alignment horizontal="center"/>
    </xf>
    <xf numFmtId="0" fontId="0" fillId="25" borderId="0" xfId="0" applyFill="1" applyAlignment="1" applyProtection="1">
      <alignment horizontal="right"/>
    </xf>
    <xf numFmtId="0" fontId="0" fillId="24" borderId="0" xfId="0" applyFill="1" applyAlignment="1" applyProtection="1">
      <alignment horizontal="right"/>
    </xf>
    <xf numFmtId="0" fontId="0" fillId="24" borderId="0" xfId="0" applyFill="1" applyBorder="1" applyAlignment="1" applyProtection="1">
      <alignment horizontal="right" shrinkToFit="1"/>
    </xf>
    <xf numFmtId="0" fontId="0" fillId="0" borderId="0" xfId="0" applyFill="1" applyBorder="1" applyAlignment="1" applyProtection="1">
      <alignment horizontal="left"/>
    </xf>
    <xf numFmtId="0" fontId="0" fillId="24" borderId="10" xfId="0" applyFont="1" applyFill="1" applyBorder="1" applyAlignment="1" applyProtection="1">
      <alignment horizontal="center" shrinkToFit="1"/>
    </xf>
    <xf numFmtId="0" fontId="0" fillId="0" borderId="14" xfId="0" applyBorder="1" applyAlignment="1" applyProtection="1">
      <alignment horizontal="center" shrinkToFit="1"/>
    </xf>
    <xf numFmtId="0" fontId="0" fillId="24" borderId="14" xfId="0" applyFill="1" applyBorder="1" applyAlignment="1" applyProtection="1">
      <alignment horizontal="right"/>
    </xf>
    <xf numFmtId="0" fontId="0" fillId="25" borderId="14" xfId="0" applyFill="1" applyBorder="1" applyProtection="1"/>
    <xf numFmtId="0" fontId="0" fillId="24" borderId="14" xfId="0" applyFill="1" applyBorder="1" applyProtection="1"/>
    <xf numFmtId="0" fontId="0" fillId="0" borderId="0" xfId="0" applyFill="1" applyBorder="1" applyAlignment="1" applyProtection="1">
      <alignment horizontal="center" shrinkToFit="1"/>
    </xf>
    <xf numFmtId="0" fontId="0" fillId="0" borderId="0" xfId="0" applyBorder="1" applyAlignment="1" applyProtection="1">
      <alignment horizontal="center"/>
    </xf>
    <xf numFmtId="0" fontId="0" fillId="0" borderId="0" xfId="0" applyBorder="1" applyAlignment="1">
      <alignment horizontal="center"/>
    </xf>
    <xf numFmtId="0" fontId="0" fillId="25" borderId="0" xfId="0" applyFill="1" applyBorder="1" applyAlignment="1" applyProtection="1">
      <alignment horizontal="right" shrinkToFit="1"/>
      <protection locked="0"/>
    </xf>
    <xf numFmtId="0" fontId="0" fillId="25" borderId="10" xfId="0" applyFont="1" applyFill="1" applyBorder="1" applyAlignment="1" applyProtection="1">
      <alignment horizontal="center" shrinkToFit="1"/>
      <protection locked="0"/>
    </xf>
    <xf numFmtId="0" fontId="0" fillId="25" borderId="14" xfId="0" applyFill="1" applyBorder="1" applyAlignment="1" applyProtection="1">
      <alignment horizontal="right" shrinkToFit="1"/>
    </xf>
    <xf numFmtId="0" fontId="0" fillId="24" borderId="0" xfId="0" applyFill="1" applyAlignment="1">
      <alignment horizontal="right"/>
    </xf>
    <xf numFmtId="0" fontId="0" fillId="24" borderId="0" xfId="0" applyFill="1" applyBorder="1" applyAlignment="1" applyProtection="1">
      <alignment horizontal="right" shrinkToFit="1"/>
      <protection locked="0"/>
    </xf>
    <xf numFmtId="0" fontId="0" fillId="25" borderId="0" xfId="0" applyFill="1" applyAlignment="1">
      <alignment horizontal="right"/>
    </xf>
    <xf numFmtId="0" fontId="0" fillId="24" borderId="14" xfId="0" applyNumberFormat="1" applyFill="1" applyBorder="1" applyAlignment="1" applyProtection="1">
      <alignment horizontal="right" shrinkToFit="1"/>
    </xf>
    <xf numFmtId="0" fontId="19" fillId="24" borderId="0" xfId="0" applyNumberFormat="1" applyFont="1" applyFill="1" applyBorder="1" applyAlignment="1" applyProtection="1">
      <alignment horizontal="right" shrinkToFit="1"/>
    </xf>
    <xf numFmtId="0" fontId="0" fillId="24" borderId="0" xfId="0" applyNumberFormat="1" applyFill="1" applyBorder="1" applyAlignment="1" applyProtection="1">
      <alignment horizontal="right" shrinkToFit="1"/>
    </xf>
    <xf numFmtId="0" fontId="0" fillId="25" borderId="14" xfId="0" applyNumberFormat="1" applyFill="1" applyBorder="1" applyAlignment="1" applyProtection="1">
      <alignment horizontal="right" shrinkToFit="1"/>
    </xf>
    <xf numFmtId="0" fontId="0" fillId="25" borderId="0" xfId="0" applyNumberFormat="1" applyFill="1" applyBorder="1" applyAlignment="1" applyProtection="1">
      <alignment horizontal="right" shrinkToFit="1"/>
    </xf>
    <xf numFmtId="0" fontId="0" fillId="24" borderId="33" xfId="0" applyFill="1" applyBorder="1" applyAlignment="1" applyProtection="1">
      <alignment horizontal="right" shrinkToFit="1"/>
    </xf>
    <xf numFmtId="0" fontId="0" fillId="25" borderId="0" xfId="0" applyFill="1" applyBorder="1" applyAlignment="1" applyProtection="1">
      <alignment horizontal="right" shrinkToFit="1"/>
    </xf>
    <xf numFmtId="0" fontId="0" fillId="24" borderId="19" xfId="0" applyFill="1" applyBorder="1" applyAlignment="1" applyProtection="1">
      <alignment horizontal="center" shrinkToFit="1"/>
    </xf>
    <xf numFmtId="178" fontId="0" fillId="0" borderId="0" xfId="0" applyNumberFormat="1" applyAlignment="1">
      <alignment vertical="center"/>
    </xf>
    <xf numFmtId="0" fontId="0" fillId="0" borderId="0" xfId="0" applyAlignment="1"/>
    <xf numFmtId="0" fontId="0" fillId="0" borderId="0" xfId="0" applyAlignment="1">
      <alignment vertical="center"/>
    </xf>
    <xf numFmtId="0" fontId="20" fillId="0" borderId="0" xfId="28" applyAlignment="1" applyProtection="1"/>
    <xf numFmtId="0" fontId="21" fillId="0" borderId="0" xfId="0" applyFont="1" applyAlignment="1">
      <alignment horizontal="center" vertical="center"/>
    </xf>
    <xf numFmtId="0" fontId="0" fillId="0" borderId="0" xfId="0" applyAlignment="1">
      <alignment horizontal="center"/>
    </xf>
    <xf numFmtId="0" fontId="0" fillId="0" borderId="11" xfId="0" applyBorder="1" applyAlignment="1"/>
    <xf numFmtId="0" fontId="0" fillId="0" borderId="15" xfId="0" applyBorder="1" applyAlignment="1"/>
    <xf numFmtId="0" fontId="0" fillId="0" borderId="12" xfId="0" applyBorder="1" applyAlignment="1"/>
    <xf numFmtId="14" fontId="0" fillId="0" borderId="11" xfId="0" applyNumberFormat="1" applyBorder="1" applyAlignment="1" applyProtection="1">
      <protection locked="0"/>
    </xf>
    <xf numFmtId="0" fontId="0" fillId="0" borderId="15" xfId="0" applyBorder="1" applyAlignment="1" applyProtection="1">
      <protection locked="0"/>
    </xf>
    <xf numFmtId="0" fontId="0" fillId="0" borderId="12" xfId="0" applyBorder="1" applyAlignment="1" applyProtection="1">
      <protection locked="0"/>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pplyProtection="1">
      <protection locked="0"/>
    </xf>
    <xf numFmtId="181" fontId="0" fillId="0" borderId="11" xfId="0" applyNumberFormat="1" applyBorder="1" applyAlignment="1"/>
    <xf numFmtId="181" fontId="0" fillId="0" borderId="12" xfId="0" applyNumberFormat="1" applyBorder="1" applyAlignment="1"/>
    <xf numFmtId="0" fontId="0" fillId="0" borderId="11" xfId="0" applyFill="1" applyBorder="1" applyAlignment="1" applyProtection="1">
      <protection locked="0"/>
    </xf>
    <xf numFmtId="0" fontId="0" fillId="0" borderId="15" xfId="0" applyFill="1" applyBorder="1" applyAlignment="1" applyProtection="1">
      <protection locked="0"/>
    </xf>
    <xf numFmtId="0" fontId="0" fillId="0" borderId="12" xfId="0" applyFill="1" applyBorder="1" applyAlignment="1" applyProtection="1">
      <protection locked="0"/>
    </xf>
    <xf numFmtId="5" fontId="0" fillId="0" borderId="15" xfId="0" applyNumberFormat="1" applyBorder="1" applyAlignment="1"/>
    <xf numFmtId="0" fontId="0" fillId="26" borderId="11" xfId="0" applyFill="1" applyBorder="1" applyAlignment="1">
      <alignment shrinkToFit="1"/>
    </xf>
    <xf numFmtId="0" fontId="0" fillId="26" borderId="12" xfId="0" applyFill="1" applyBorder="1" applyAlignment="1"/>
    <xf numFmtId="183" fontId="0" fillId="26" borderId="11" xfId="0" applyNumberFormat="1" applyFill="1" applyBorder="1" applyAlignment="1"/>
    <xf numFmtId="183" fontId="0" fillId="26" borderId="12" xfId="0" applyNumberFormat="1" applyFill="1" applyBorder="1" applyAlignment="1"/>
    <xf numFmtId="0" fontId="19" fillId="0" borderId="11" xfId="0" applyFont="1" applyBorder="1" applyAlignment="1">
      <alignment shrinkToFit="1"/>
    </xf>
    <xf numFmtId="0" fontId="19" fillId="0" borderId="15" xfId="0" applyFont="1" applyBorder="1" applyAlignment="1">
      <alignment shrinkToFit="1"/>
    </xf>
    <xf numFmtId="0" fontId="0" fillId="0" borderId="12" xfId="0" applyBorder="1" applyAlignment="1">
      <alignment shrinkToFit="1"/>
    </xf>
    <xf numFmtId="176" fontId="0" fillId="0" borderId="10" xfId="0" applyNumberFormat="1" applyFill="1" applyBorder="1" applyAlignment="1" applyProtection="1">
      <alignment horizontal="left" vertical="center" indent="1"/>
      <protection locked="0"/>
    </xf>
    <xf numFmtId="0" fontId="0" fillId="0" borderId="10" xfId="0" applyBorder="1" applyAlignment="1" applyProtection="1">
      <alignment horizontal="left" vertical="center"/>
      <protection locked="0"/>
    </xf>
    <xf numFmtId="49" fontId="0" fillId="0" borderId="11" xfId="0" applyNumberFormat="1" applyBorder="1" applyAlignment="1" applyProtection="1">
      <alignment horizontal="right"/>
      <protection locked="0"/>
    </xf>
    <xf numFmtId="49" fontId="0" fillId="0" borderId="15" xfId="0" applyNumberFormat="1" applyBorder="1" applyAlignment="1" applyProtection="1">
      <alignment horizontal="right"/>
      <protection locked="0"/>
    </xf>
    <xf numFmtId="49" fontId="0" fillId="0" borderId="12" xfId="0" applyNumberFormat="1" applyBorder="1" applyAlignment="1" applyProtection="1">
      <alignment horizontal="right"/>
      <protection locked="0"/>
    </xf>
    <xf numFmtId="0" fontId="0" fillId="0" borderId="51" xfId="0" applyBorder="1" applyAlignment="1">
      <alignment horizontal="center"/>
    </xf>
    <xf numFmtId="0" fontId="0" fillId="0" borderId="15"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21" xfId="0" applyBorder="1" applyAlignment="1">
      <alignment horizontal="center"/>
    </xf>
    <xf numFmtId="0" fontId="0" fillId="0" borderId="54" xfId="0" applyBorder="1" applyAlignment="1">
      <alignment horizontal="center"/>
    </xf>
    <xf numFmtId="0" fontId="0" fillId="0" borderId="0" xfId="0" applyBorder="1" applyAlignment="1" applyProtection="1">
      <alignment horizontal="center"/>
    </xf>
    <xf numFmtId="49" fontId="0" fillId="0" borderId="11" xfId="0" applyNumberFormat="1" applyFill="1" applyBorder="1" applyAlignment="1" applyProtection="1">
      <alignment horizontal="right"/>
      <protection locked="0"/>
    </xf>
    <xf numFmtId="49" fontId="0" fillId="0" borderId="15" xfId="0" applyNumberFormat="1" applyFill="1" applyBorder="1" applyAlignment="1" applyProtection="1">
      <alignment horizontal="right"/>
      <protection locked="0"/>
    </xf>
    <xf numFmtId="49" fontId="0" fillId="0" borderId="12" xfId="0" applyNumberFormat="1" applyFill="1" applyBorder="1" applyAlignment="1" applyProtection="1">
      <alignment horizontal="right"/>
      <protection locked="0"/>
    </xf>
    <xf numFmtId="5" fontId="0" fillId="0" borderId="21" xfId="0" applyNumberFormat="1" applyBorder="1" applyAlignment="1"/>
    <xf numFmtId="0" fontId="0" fillId="0" borderId="21" xfId="0" applyBorder="1" applyAlignment="1"/>
    <xf numFmtId="0" fontId="0" fillId="0" borderId="10" xfId="0" applyBorder="1" applyAlignment="1">
      <alignment horizontal="center" vertical="center"/>
    </xf>
    <xf numFmtId="0" fontId="0" fillId="0" borderId="10" xfId="0" applyBorder="1" applyAlignment="1"/>
    <xf numFmtId="1" fontId="0" fillId="0" borderId="10" xfId="0" applyNumberFormat="1" applyBorder="1" applyAlignment="1" applyProtection="1">
      <alignment horizontal="center"/>
      <protection locked="0"/>
    </xf>
    <xf numFmtId="0" fontId="0" fillId="0" borderId="10" xfId="0" applyBorder="1" applyAlignment="1" applyProtection="1">
      <protection locked="0"/>
    </xf>
    <xf numFmtId="0" fontId="0" fillId="0" borderId="10" xfId="0" applyBorder="1" applyAlignment="1">
      <alignment vertical="center"/>
    </xf>
    <xf numFmtId="0" fontId="0" fillId="0" borderId="49" xfId="0" applyBorder="1" applyAlignment="1">
      <alignment vertical="center"/>
    </xf>
    <xf numFmtId="0" fontId="0" fillId="0" borderId="45" xfId="0" applyBorder="1" applyAlignment="1">
      <alignment vertical="center"/>
    </xf>
    <xf numFmtId="0" fontId="0" fillId="0" borderId="38" xfId="0" applyBorder="1" applyAlignment="1">
      <alignment vertical="center"/>
    </xf>
    <xf numFmtId="0" fontId="0" fillId="0" borderId="50"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49" fontId="0" fillId="0" borderId="49" xfId="0" applyNumberFormat="1" applyBorder="1" applyAlignment="1">
      <alignment horizontal="center" vertical="center" shrinkToFit="1"/>
    </xf>
    <xf numFmtId="49" fontId="0" fillId="0" borderId="45" xfId="0" applyNumberFormat="1" applyBorder="1" applyAlignment="1">
      <alignment horizontal="center" vertical="center" shrinkToFit="1"/>
    </xf>
    <xf numFmtId="49" fontId="0" fillId="0" borderId="47" xfId="0" applyNumberFormat="1" applyBorder="1" applyAlignment="1">
      <alignment horizontal="center" vertical="center"/>
    </xf>
    <xf numFmtId="49" fontId="0" fillId="0" borderId="40" xfId="0" applyNumberFormat="1" applyBorder="1" applyAlignment="1">
      <alignment horizontal="center" vertical="center"/>
    </xf>
    <xf numFmtId="0" fontId="0" fillId="0" borderId="48" xfId="0" applyBorder="1" applyAlignment="1"/>
    <xf numFmtId="0" fontId="0" fillId="0" borderId="19"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24" borderId="37" xfId="0" applyFill="1" applyBorder="1" applyAlignment="1" applyProtection="1">
      <alignment vertical="center" shrinkToFit="1"/>
    </xf>
    <xf numFmtId="0" fontId="0" fillId="24" borderId="45" xfId="0" applyFill="1" applyBorder="1" applyAlignment="1" applyProtection="1">
      <alignment vertical="center" shrinkToFit="1"/>
    </xf>
    <xf numFmtId="0" fontId="0" fillId="24" borderId="46" xfId="0" applyFill="1" applyBorder="1" applyAlignment="1" applyProtection="1">
      <alignment vertical="center" shrinkToFit="1"/>
    </xf>
    <xf numFmtId="0" fontId="0" fillId="24" borderId="37" xfId="0" applyFill="1" applyBorder="1" applyAlignment="1" applyProtection="1">
      <alignment horizontal="center" vertical="center" shrinkToFit="1"/>
    </xf>
    <xf numFmtId="0" fontId="0" fillId="24" borderId="38" xfId="0" applyFill="1" applyBorder="1" applyAlignment="1" applyProtection="1">
      <alignment horizontal="center" vertical="center" shrinkToFit="1"/>
    </xf>
    <xf numFmtId="0" fontId="0" fillId="24" borderId="38" xfId="0" applyFill="1" applyBorder="1" applyAlignment="1" applyProtection="1">
      <alignment vertical="center" shrinkToFit="1"/>
    </xf>
    <xf numFmtId="0" fontId="0" fillId="24" borderId="42" xfId="0" applyFill="1" applyBorder="1" applyAlignment="1" applyProtection="1">
      <alignment horizontal="center" vertical="center" shrinkToFit="1"/>
    </xf>
    <xf numFmtId="0" fontId="0" fillId="24" borderId="43" xfId="0" applyFill="1" applyBorder="1" applyAlignment="1" applyProtection="1">
      <alignment horizontal="center" vertical="center" shrinkToFit="1"/>
    </xf>
    <xf numFmtId="0" fontId="0" fillId="24" borderId="44" xfId="0" applyFill="1" applyBorder="1" applyAlignment="1" applyProtection="1">
      <alignment horizontal="center" vertical="center" shrinkToFit="1"/>
    </xf>
    <xf numFmtId="0" fontId="0" fillId="24" borderId="45" xfId="0" applyFill="1" applyBorder="1" applyAlignment="1" applyProtection="1">
      <alignment horizontal="center" vertical="center" shrinkToFit="1"/>
    </xf>
    <xf numFmtId="0" fontId="0" fillId="24" borderId="46" xfId="0" applyFill="1" applyBorder="1" applyAlignment="1" applyProtection="1">
      <alignment horizontal="center" vertical="center" shrinkToFit="1"/>
    </xf>
    <xf numFmtId="179" fontId="0" fillId="24" borderId="37" xfId="0" applyNumberFormat="1" applyFill="1" applyBorder="1" applyAlignment="1" applyProtection="1">
      <alignment horizontal="center" vertical="center" shrinkToFit="1"/>
    </xf>
    <xf numFmtId="179" fontId="0" fillId="24" borderId="45" xfId="0" applyNumberFormat="1" applyFill="1" applyBorder="1" applyAlignment="1" applyProtection="1">
      <alignment horizontal="center" vertical="center" shrinkToFit="1"/>
    </xf>
    <xf numFmtId="179" fontId="0" fillId="24" borderId="46" xfId="0" applyNumberFormat="1" applyFill="1" applyBorder="1" applyAlignment="1" applyProtection="1">
      <alignment horizontal="center" vertical="center" shrinkToFit="1"/>
    </xf>
    <xf numFmtId="0" fontId="0" fillId="24" borderId="19" xfId="0" applyFill="1" applyBorder="1" applyAlignment="1" applyProtection="1">
      <alignment shrinkToFit="1"/>
    </xf>
    <xf numFmtId="0" fontId="0" fillId="24" borderId="35" xfId="0" applyFill="1" applyBorder="1" applyAlignment="1" applyProtection="1">
      <alignment shrinkToFit="1"/>
    </xf>
    <xf numFmtId="0" fontId="0" fillId="24" borderId="36" xfId="0" applyFill="1" applyBorder="1" applyAlignment="1" applyProtection="1">
      <alignment shrinkToFit="1"/>
    </xf>
    <xf numFmtId="0" fontId="0" fillId="24" borderId="19" xfId="0" applyFill="1" applyBorder="1" applyAlignment="1" applyProtection="1">
      <alignment horizontal="center" shrinkToFit="1"/>
    </xf>
    <xf numFmtId="0" fontId="0" fillId="24" borderId="35" xfId="0" applyFill="1" applyBorder="1" applyAlignment="1" applyProtection="1">
      <alignment horizontal="center" shrinkToFit="1"/>
    </xf>
    <xf numFmtId="0" fontId="0" fillId="24" borderId="36" xfId="0" applyFill="1" applyBorder="1" applyAlignment="1" applyProtection="1">
      <alignment horizontal="center" shrinkToFit="1"/>
    </xf>
    <xf numFmtId="0" fontId="0" fillId="0" borderId="38" xfId="0" applyBorder="1" applyAlignment="1">
      <alignment horizontal="center" vertical="center" shrinkToFit="1"/>
    </xf>
    <xf numFmtId="180" fontId="0" fillId="24" borderId="39" xfId="0" applyNumberFormat="1" applyFill="1" applyBorder="1" applyAlignment="1" applyProtection="1">
      <alignment horizontal="center" vertical="center" wrapText="1"/>
    </xf>
    <xf numFmtId="0" fontId="0" fillId="24" borderId="40" xfId="0" applyFill="1" applyBorder="1" applyAlignment="1" applyProtection="1">
      <alignment horizontal="center" vertical="center" wrapText="1"/>
    </xf>
    <xf numFmtId="0" fontId="0" fillId="24" borderId="41" xfId="0" applyFill="1" applyBorder="1" applyAlignment="1" applyProtection="1">
      <alignment horizontal="center" vertical="center" wrapText="1"/>
    </xf>
    <xf numFmtId="179" fontId="0" fillId="24" borderId="37" xfId="0" applyNumberFormat="1" applyFill="1" applyBorder="1" applyAlignment="1" applyProtection="1">
      <alignment horizontal="center" vertical="center" shrinkToFit="1"/>
      <protection locked="0"/>
    </xf>
    <xf numFmtId="179" fontId="0" fillId="24" borderId="45" xfId="0" applyNumberFormat="1" applyFill="1" applyBorder="1" applyAlignment="1" applyProtection="1">
      <alignment horizontal="center" vertical="center" shrinkToFit="1"/>
      <protection locked="0"/>
    </xf>
    <xf numFmtId="179" fontId="0" fillId="24" borderId="46" xfId="0" applyNumberFormat="1" applyFill="1" applyBorder="1" applyAlignment="1" applyProtection="1">
      <alignment horizontal="center" vertical="center" shrinkToFit="1"/>
      <protection locked="0"/>
    </xf>
    <xf numFmtId="180" fontId="0" fillId="24" borderId="39" xfId="0" applyNumberFormat="1" applyFill="1" applyBorder="1" applyAlignment="1" applyProtection="1">
      <alignment horizontal="center" vertical="center" wrapText="1" shrinkToFit="1"/>
    </xf>
    <xf numFmtId="0" fontId="0" fillId="24" borderId="40" xfId="0" applyFill="1" applyBorder="1" applyAlignment="1" applyProtection="1">
      <alignment horizontal="center" vertical="center" wrapText="1" shrinkToFit="1"/>
    </xf>
    <xf numFmtId="0" fontId="0" fillId="24" borderId="41" xfId="0" applyFill="1" applyBorder="1" applyAlignment="1" applyProtection="1">
      <alignment horizontal="center" vertical="center" wrapText="1" shrinkToFit="1"/>
    </xf>
    <xf numFmtId="0" fontId="0" fillId="24" borderId="11" xfId="0" applyFont="1" applyFill="1" applyBorder="1" applyAlignment="1" applyProtection="1">
      <alignment shrinkToFit="1"/>
      <protection locked="0"/>
    </xf>
    <xf numFmtId="0" fontId="19" fillId="24" borderId="12" xfId="0" applyFont="1" applyFill="1" applyBorder="1" applyAlignment="1" applyProtection="1">
      <alignment shrinkToFit="1"/>
      <protection locked="0"/>
    </xf>
    <xf numFmtId="180" fontId="0" fillId="25" borderId="39" xfId="0" applyNumberFormat="1" applyFill="1" applyBorder="1" applyAlignment="1" applyProtection="1">
      <alignment horizontal="center" vertical="center" wrapText="1" shrinkToFit="1"/>
    </xf>
    <xf numFmtId="0" fontId="0" fillId="25" borderId="40" xfId="0" applyFill="1" applyBorder="1" applyAlignment="1" applyProtection="1">
      <alignment horizontal="center" vertical="center" wrapText="1" shrinkToFit="1"/>
    </xf>
    <xf numFmtId="0" fontId="0" fillId="25" borderId="41" xfId="0" applyFill="1" applyBorder="1" applyAlignment="1" applyProtection="1">
      <alignment horizontal="center" vertical="center" wrapText="1" shrinkToFit="1"/>
    </xf>
    <xf numFmtId="0" fontId="0" fillId="25" borderId="11" xfId="0" applyFont="1" applyFill="1" applyBorder="1" applyAlignment="1" applyProtection="1">
      <alignment shrinkToFit="1"/>
      <protection locked="0"/>
    </xf>
    <xf numFmtId="0" fontId="19" fillId="25" borderId="12" xfId="0" applyFont="1" applyFill="1" applyBorder="1" applyAlignment="1" applyProtection="1">
      <alignment shrinkToFit="1"/>
      <protection locked="0"/>
    </xf>
    <xf numFmtId="0" fontId="0" fillId="25" borderId="19" xfId="0" applyFill="1" applyBorder="1" applyAlignment="1" applyProtection="1">
      <alignment shrinkToFit="1"/>
      <protection locked="0"/>
    </xf>
    <xf numFmtId="0" fontId="0" fillId="25" borderId="35" xfId="0" applyFill="1" applyBorder="1" applyAlignment="1" applyProtection="1">
      <alignment shrinkToFit="1"/>
      <protection locked="0"/>
    </xf>
    <xf numFmtId="0" fontId="0" fillId="25" borderId="36" xfId="0" applyFill="1" applyBorder="1" applyAlignment="1" applyProtection="1">
      <alignment shrinkToFit="1"/>
      <protection locked="0"/>
    </xf>
    <xf numFmtId="0" fontId="0" fillId="28" borderId="19" xfId="0" applyFill="1" applyBorder="1" applyAlignment="1" applyProtection="1">
      <alignment horizontal="center" shrinkToFit="1"/>
      <protection locked="0"/>
    </xf>
    <xf numFmtId="0" fontId="0" fillId="28" borderId="35" xfId="0" applyFill="1" applyBorder="1" applyAlignment="1" applyProtection="1">
      <alignment horizontal="center" shrinkToFit="1"/>
      <protection locked="0"/>
    </xf>
    <xf numFmtId="0" fontId="0" fillId="28" borderId="36" xfId="0" applyFill="1" applyBorder="1" applyAlignment="1" applyProtection="1">
      <alignment horizontal="center" shrinkToFit="1"/>
      <protection locked="0"/>
    </xf>
    <xf numFmtId="0" fontId="0" fillId="24" borderId="37" xfId="0" applyFill="1" applyBorder="1" applyAlignment="1" applyProtection="1">
      <alignment horizontal="center" vertical="center" shrinkToFit="1"/>
      <protection locked="0"/>
    </xf>
    <xf numFmtId="0" fontId="0" fillId="24" borderId="38" xfId="0" applyFill="1" applyBorder="1" applyAlignment="1" applyProtection="1">
      <alignment horizontal="center" vertical="center" shrinkToFit="1"/>
      <protection locked="0"/>
    </xf>
    <xf numFmtId="0" fontId="0" fillId="24" borderId="42" xfId="0" applyFill="1" applyBorder="1" applyAlignment="1" applyProtection="1">
      <alignment horizontal="center" vertical="center" shrinkToFit="1"/>
      <protection locked="0"/>
    </xf>
    <xf numFmtId="0" fontId="0" fillId="24" borderId="43" xfId="0" applyFill="1" applyBorder="1" applyAlignment="1" applyProtection="1">
      <alignment horizontal="center" vertical="center" shrinkToFit="1"/>
      <protection locked="0"/>
    </xf>
    <xf numFmtId="0" fontId="0" fillId="24" borderId="44" xfId="0" applyFill="1" applyBorder="1" applyAlignment="1" applyProtection="1">
      <alignment horizontal="center" vertical="center" shrinkToFit="1"/>
      <protection locked="0"/>
    </xf>
    <xf numFmtId="0" fontId="0" fillId="24" borderId="45" xfId="0" applyFill="1" applyBorder="1" applyAlignment="1" applyProtection="1">
      <alignment horizontal="center" vertical="center" shrinkToFit="1"/>
      <protection locked="0"/>
    </xf>
    <xf numFmtId="0" fontId="0" fillId="24" borderId="46" xfId="0" applyFill="1" applyBorder="1" applyAlignment="1" applyProtection="1">
      <alignment horizontal="center" vertical="center" shrinkToFit="1"/>
      <protection locked="0"/>
    </xf>
    <xf numFmtId="0" fontId="0" fillId="25" borderId="37" xfId="0" applyFill="1" applyBorder="1" applyAlignment="1" applyProtection="1">
      <alignment horizontal="center" vertical="center" shrinkToFit="1"/>
      <protection locked="0"/>
    </xf>
    <xf numFmtId="0" fontId="0" fillId="25" borderId="45" xfId="0" applyFill="1" applyBorder="1" applyAlignment="1" applyProtection="1">
      <alignment horizontal="center" vertical="center" shrinkToFit="1"/>
      <protection locked="0"/>
    </xf>
    <xf numFmtId="0" fontId="0" fillId="25" borderId="46" xfId="0" applyFill="1" applyBorder="1" applyAlignment="1" applyProtection="1">
      <alignment horizontal="center" vertical="center" shrinkToFit="1"/>
      <protection locked="0"/>
    </xf>
    <xf numFmtId="179" fontId="0" fillId="25" borderId="37" xfId="0" applyNumberFormat="1" applyFill="1" applyBorder="1" applyAlignment="1" applyProtection="1">
      <alignment horizontal="center" vertical="center" shrinkToFit="1"/>
      <protection locked="0"/>
    </xf>
    <xf numFmtId="179" fontId="0" fillId="25" borderId="45" xfId="0" applyNumberFormat="1" applyFill="1" applyBorder="1" applyAlignment="1" applyProtection="1">
      <alignment horizontal="center" vertical="center" shrinkToFit="1"/>
      <protection locked="0"/>
    </xf>
    <xf numFmtId="179" fontId="0" fillId="25" borderId="46" xfId="0" applyNumberFormat="1" applyFill="1" applyBorder="1" applyAlignment="1" applyProtection="1">
      <alignment horizontal="center" vertical="center" shrinkToFit="1"/>
      <protection locked="0"/>
    </xf>
    <xf numFmtId="180" fontId="0" fillId="25" borderId="40" xfId="0" applyNumberFormat="1" applyFill="1" applyBorder="1" applyAlignment="1" applyProtection="1">
      <alignment horizontal="center" vertical="center" wrapText="1" shrinkToFit="1"/>
    </xf>
    <xf numFmtId="180" fontId="0" fillId="25" borderId="41" xfId="0" applyNumberFormat="1" applyFill="1" applyBorder="1" applyAlignment="1" applyProtection="1">
      <alignment horizontal="center" vertical="center" wrapText="1" shrinkToFit="1"/>
    </xf>
    <xf numFmtId="0" fontId="0" fillId="25" borderId="42" xfId="0" applyFill="1" applyBorder="1" applyAlignment="1" applyProtection="1">
      <alignment horizontal="center" vertical="center" shrinkToFit="1"/>
      <protection locked="0"/>
    </xf>
    <xf numFmtId="0" fontId="0" fillId="25" borderId="43" xfId="0" applyFill="1" applyBorder="1" applyAlignment="1" applyProtection="1">
      <alignment horizontal="center" vertical="center" shrinkToFit="1"/>
      <protection locked="0"/>
    </xf>
    <xf numFmtId="0" fontId="0" fillId="25" borderId="44" xfId="0" applyFill="1" applyBorder="1" applyAlignment="1" applyProtection="1">
      <alignment horizontal="center" vertical="center" shrinkToFit="1"/>
      <protection locked="0"/>
    </xf>
    <xf numFmtId="0" fontId="0" fillId="24" borderId="11" xfId="0" applyFont="1" applyFill="1" applyBorder="1" applyAlignment="1" applyProtection="1">
      <alignment shrinkToFit="1"/>
    </xf>
    <xf numFmtId="0" fontId="19" fillId="24" borderId="12" xfId="0" applyFont="1" applyFill="1" applyBorder="1" applyAlignment="1" applyProtection="1">
      <alignment shrinkToFit="1"/>
    </xf>
    <xf numFmtId="0" fontId="0" fillId="25" borderId="37" xfId="0" applyFill="1" applyBorder="1" applyAlignment="1" applyProtection="1">
      <alignment vertical="center" shrinkToFit="1"/>
    </xf>
    <xf numFmtId="0" fontId="0" fillId="25" borderId="45" xfId="0" applyFill="1" applyBorder="1" applyAlignment="1" applyProtection="1">
      <alignment vertical="center" shrinkToFit="1"/>
    </xf>
    <xf numFmtId="0" fontId="0" fillId="25" borderId="46" xfId="0" applyFill="1" applyBorder="1" applyAlignment="1" applyProtection="1">
      <alignment vertical="center" shrinkToFit="1"/>
    </xf>
    <xf numFmtId="0" fontId="0" fillId="25" borderId="38" xfId="0" applyFill="1" applyBorder="1" applyAlignment="1" applyProtection="1">
      <alignment horizontal="center" vertical="center" shrinkToFit="1"/>
      <protection locked="0"/>
    </xf>
    <xf numFmtId="0" fontId="0" fillId="25" borderId="38" xfId="0" applyFill="1" applyBorder="1" applyAlignment="1" applyProtection="1">
      <alignment vertical="center" shrinkToFit="1"/>
    </xf>
    <xf numFmtId="0" fontId="0" fillId="0" borderId="38" xfId="0" applyBorder="1" applyAlignment="1" applyProtection="1">
      <alignment horizontal="center" vertical="center" shrinkToFit="1"/>
      <protection locked="0"/>
    </xf>
    <xf numFmtId="0" fontId="0" fillId="24" borderId="19" xfId="0" applyFill="1" applyBorder="1" applyAlignment="1" applyProtection="1">
      <alignment shrinkToFit="1"/>
      <protection locked="0"/>
    </xf>
    <xf numFmtId="0" fontId="0" fillId="24" borderId="35" xfId="0" applyFill="1" applyBorder="1" applyAlignment="1" applyProtection="1">
      <alignment shrinkToFit="1"/>
      <protection locked="0"/>
    </xf>
    <xf numFmtId="0" fontId="0" fillId="24" borderId="36" xfId="0" applyFill="1" applyBorder="1" applyAlignment="1" applyProtection="1">
      <alignment shrinkToFit="1"/>
      <protection locked="0"/>
    </xf>
    <xf numFmtId="0" fontId="0" fillId="24" borderId="19" xfId="0" applyFill="1" applyBorder="1" applyAlignment="1" applyProtection="1">
      <alignment horizontal="center" shrinkToFit="1"/>
      <protection locked="0"/>
    </xf>
    <xf numFmtId="0" fontId="0" fillId="24" borderId="35" xfId="0" applyFill="1" applyBorder="1" applyAlignment="1" applyProtection="1">
      <alignment horizontal="center" shrinkToFit="1"/>
      <protection locked="0"/>
    </xf>
    <xf numFmtId="0" fontId="0" fillId="24" borderId="36" xfId="0" applyFill="1" applyBorder="1" applyAlignment="1" applyProtection="1">
      <alignment horizontal="center" shrinkToFit="1"/>
      <protection locked="0"/>
    </xf>
    <xf numFmtId="0" fontId="19" fillId="24" borderId="11" xfId="0" applyFont="1" applyFill="1" applyBorder="1" applyAlignment="1" applyProtection="1">
      <alignment shrinkToFit="1"/>
      <protection locked="0"/>
    </xf>
    <xf numFmtId="0" fontId="19" fillId="25" borderId="11" xfId="0" applyFont="1" applyFill="1" applyBorder="1" applyAlignment="1" applyProtection="1">
      <alignment shrinkToFit="1"/>
      <protection locked="0"/>
    </xf>
    <xf numFmtId="181" fontId="24" fillId="0" borderId="13" xfId="0" applyNumberFormat="1" applyFont="1" applyBorder="1" applyAlignment="1"/>
    <xf numFmtId="0" fontId="0" fillId="0" borderId="0" xfId="0" applyBorder="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8">
    <dxf>
      <fill>
        <patternFill>
          <bgColor indexed="14"/>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color indexed="8"/>
      </font>
      <fill>
        <patternFill>
          <bgColor rgb="FFFFCCFF"/>
        </patternFill>
      </fill>
    </dxf>
    <dxf>
      <fill>
        <patternFill>
          <bgColor rgb="FFFFCCFF"/>
        </patternFill>
      </fill>
    </dxf>
  </dxfs>
  <tableStyles count="0" defaultTableStyle="TableStyleMedium2" defaultPivotStyle="PivotStyleLight16"/>
  <colors>
    <mruColors>
      <color rgb="FFFFCCFF"/>
      <color rgb="FF99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19050</xdr:colOff>
      <xdr:row>11</xdr:row>
      <xdr:rowOff>66675</xdr:rowOff>
    </xdr:from>
    <xdr:to>
      <xdr:col>8</xdr:col>
      <xdr:colOff>133350</xdr:colOff>
      <xdr:row>14</xdr:row>
      <xdr:rowOff>19050</xdr:rowOff>
    </xdr:to>
    <xdr:sp macro="" textlink="">
      <xdr:nvSpPr>
        <xdr:cNvPr id="3" name="右中かっこ 2"/>
        <xdr:cNvSpPr/>
      </xdr:nvSpPr>
      <xdr:spPr>
        <a:xfrm>
          <a:off x="1838325" y="1952625"/>
          <a:ext cx="114300" cy="4667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wim_sendai1987@yahoo.co.jp" TargetMode="External"/><Relationship Id="rId2" Type="http://schemas.openxmlformats.org/officeDocument/2006/relationships/hyperlink" Target="mailto:swim_sendai1987@yahoo.co.jp?subject=&#31532;51&#22238;&#12288;&#20185;&#21488;&#24066;&#27665;&#32207;&#21512;&#20307;&#32946;&#22823;&#20250;&#12288;&#27700;&#27891;&#31478;&#25216;&#22823;&#20250;&#30003;&#36796;&#26360;" TargetMode="External"/><Relationship Id="rId1" Type="http://schemas.openxmlformats.org/officeDocument/2006/relationships/hyperlink" Target="mailto:jl7spa@hot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Y63"/>
  <sheetViews>
    <sheetView showGridLines="0" workbookViewId="0"/>
  </sheetViews>
  <sheetFormatPr defaultRowHeight="12.75" x14ac:dyDescent="0.25"/>
  <cols>
    <col min="1" max="1" width="6.46484375" customWidth="1"/>
    <col min="2" max="2" width="4.59765625" customWidth="1"/>
    <col min="3" max="38" width="2.1328125" customWidth="1"/>
    <col min="39" max="41" width="2.1328125" hidden="1" customWidth="1"/>
    <col min="42" max="48" width="0" hidden="1" customWidth="1"/>
    <col min="49" max="49" width="11.73046875" hidden="1" customWidth="1"/>
    <col min="50" max="50" width="11.59765625" hidden="1" customWidth="1"/>
    <col min="51" max="104" width="0" hidden="1" customWidth="1"/>
  </cols>
  <sheetData>
    <row r="1" spans="2:51" x14ac:dyDescent="0.25">
      <c r="AX1" s="32">
        <v>41920</v>
      </c>
      <c r="AY1" t="s">
        <v>96</v>
      </c>
    </row>
    <row r="2" spans="2:51" x14ac:dyDescent="0.25">
      <c r="K2" s="15" t="s">
        <v>101</v>
      </c>
      <c r="R2" s="15"/>
      <c r="AX2" s="32">
        <v>41952</v>
      </c>
      <c r="AY2" t="s">
        <v>97</v>
      </c>
    </row>
    <row r="3" spans="2:51" x14ac:dyDescent="0.25">
      <c r="R3" s="15"/>
      <c r="AX3" t="s">
        <v>98</v>
      </c>
    </row>
    <row r="4" spans="2:51" x14ac:dyDescent="0.25">
      <c r="K4" s="15" t="s">
        <v>102</v>
      </c>
      <c r="AX4" t="s">
        <v>99</v>
      </c>
    </row>
    <row r="5" spans="2:51" x14ac:dyDescent="0.25">
      <c r="R5" s="15"/>
      <c r="AX5" t="s">
        <v>100</v>
      </c>
    </row>
    <row r="6" spans="2:51" x14ac:dyDescent="0.25">
      <c r="B6" s="15">
        <v>1</v>
      </c>
      <c r="C6" s="15" t="s">
        <v>22</v>
      </c>
      <c r="D6" s="15"/>
      <c r="E6" s="15"/>
      <c r="F6" s="15"/>
      <c r="G6" s="15"/>
      <c r="H6" s="15"/>
      <c r="I6" s="15"/>
      <c r="J6" s="15"/>
      <c r="K6" s="15" t="s">
        <v>217</v>
      </c>
      <c r="L6" s="15"/>
      <c r="M6" s="15"/>
      <c r="N6" s="15"/>
      <c r="O6" s="15"/>
      <c r="P6" s="15"/>
      <c r="Q6" s="15"/>
      <c r="AX6" s="32" t="s">
        <v>168</v>
      </c>
    </row>
    <row r="7" spans="2:51" x14ac:dyDescent="0.25">
      <c r="B7" s="15"/>
      <c r="C7" s="15"/>
      <c r="D7" s="15"/>
      <c r="E7" s="15"/>
      <c r="F7" s="15"/>
      <c r="G7" s="15"/>
      <c r="H7" s="15"/>
      <c r="I7" s="15"/>
      <c r="J7" s="15"/>
      <c r="K7" s="15" t="s">
        <v>218</v>
      </c>
      <c r="L7" s="15"/>
      <c r="M7" s="15"/>
      <c r="N7" s="15"/>
      <c r="O7" s="15"/>
      <c r="P7" s="15"/>
      <c r="Q7" s="15"/>
      <c r="AX7" s="32">
        <v>42283</v>
      </c>
      <c r="AY7" t="s">
        <v>172</v>
      </c>
    </row>
    <row r="8" spans="2:51" x14ac:dyDescent="0.25">
      <c r="B8" s="15">
        <v>2</v>
      </c>
      <c r="C8" s="15" t="s">
        <v>115</v>
      </c>
      <c r="D8" s="15"/>
      <c r="E8" s="15"/>
      <c r="F8" s="15"/>
      <c r="G8" s="15"/>
      <c r="H8" s="15"/>
      <c r="I8" s="15"/>
      <c r="J8" s="15"/>
      <c r="K8" s="15" t="s">
        <v>124</v>
      </c>
      <c r="L8" s="15"/>
      <c r="M8" s="15"/>
      <c r="N8" s="15"/>
      <c r="O8" s="15"/>
      <c r="P8" s="15"/>
      <c r="Q8" s="15"/>
      <c r="AX8" s="32">
        <v>42625</v>
      </c>
      <c r="AY8" t="s">
        <v>222</v>
      </c>
    </row>
    <row r="9" spans="2:51" x14ac:dyDescent="0.25">
      <c r="B9" s="15">
        <v>3</v>
      </c>
      <c r="C9" s="15" t="s">
        <v>116</v>
      </c>
      <c r="D9" s="15"/>
      <c r="E9" s="15"/>
      <c r="F9" s="15"/>
      <c r="G9" s="15"/>
      <c r="H9" s="15"/>
      <c r="I9" s="15"/>
      <c r="J9" s="15"/>
      <c r="K9" s="15" t="s">
        <v>125</v>
      </c>
      <c r="L9" s="15"/>
      <c r="M9" s="15"/>
      <c r="N9" s="15"/>
      <c r="O9" s="15"/>
      <c r="P9" s="15"/>
      <c r="Q9" s="15"/>
      <c r="AX9" s="32">
        <v>42625</v>
      </c>
      <c r="AY9" t="s">
        <v>221</v>
      </c>
    </row>
    <row r="10" spans="2:51" x14ac:dyDescent="0.25">
      <c r="B10" s="15">
        <v>4</v>
      </c>
      <c r="C10" s="15" t="s">
        <v>120</v>
      </c>
      <c r="D10" s="15"/>
      <c r="E10" s="15"/>
      <c r="F10" s="15"/>
      <c r="G10" s="15"/>
      <c r="H10" s="15"/>
      <c r="I10" s="15"/>
      <c r="J10" s="15"/>
      <c r="K10" s="146" t="s">
        <v>117</v>
      </c>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X10" s="32">
        <v>42625</v>
      </c>
      <c r="AY10" t="s">
        <v>223</v>
      </c>
    </row>
    <row r="11" spans="2:51" x14ac:dyDescent="0.25">
      <c r="B11" s="15"/>
      <c r="C11" s="15" t="s">
        <v>119</v>
      </c>
      <c r="D11" s="15"/>
      <c r="E11" s="15"/>
      <c r="F11" s="15"/>
      <c r="G11" s="15"/>
      <c r="H11" s="15"/>
      <c r="I11" s="15"/>
      <c r="J11" s="15"/>
      <c r="K11" s="148"/>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X11" s="32">
        <v>42625</v>
      </c>
      <c r="AY11" t="s">
        <v>224</v>
      </c>
    </row>
    <row r="12" spans="2:51" x14ac:dyDescent="0.25">
      <c r="B12" s="15">
        <v>5</v>
      </c>
      <c r="C12" s="15" t="s">
        <v>123</v>
      </c>
      <c r="D12" s="15"/>
      <c r="E12" s="15"/>
      <c r="F12" s="15"/>
      <c r="G12" s="15"/>
      <c r="H12" s="15"/>
      <c r="I12" s="15"/>
      <c r="J12" s="15"/>
      <c r="K12" s="146" t="s">
        <v>118</v>
      </c>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row>
    <row r="13" spans="2:51" x14ac:dyDescent="0.25">
      <c r="B13" s="15"/>
      <c r="C13" s="15" t="s">
        <v>121</v>
      </c>
      <c r="D13" s="15"/>
      <c r="E13" s="15"/>
      <c r="F13" s="15"/>
      <c r="G13" s="15"/>
      <c r="H13" s="15"/>
      <c r="I13" s="15"/>
      <c r="J13" s="15"/>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row>
    <row r="14" spans="2:51" x14ac:dyDescent="0.25">
      <c r="B14" s="15"/>
      <c r="C14" s="15" t="s">
        <v>122</v>
      </c>
      <c r="D14" s="15"/>
      <c r="E14" s="15"/>
      <c r="F14" s="15"/>
      <c r="G14" s="15"/>
      <c r="H14" s="15"/>
      <c r="I14" s="15"/>
      <c r="J14" s="15"/>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row>
    <row r="15" spans="2:51" x14ac:dyDescent="0.25">
      <c r="B15" s="15">
        <v>6</v>
      </c>
      <c r="C15" s="15" t="s">
        <v>86</v>
      </c>
      <c r="D15" s="15"/>
      <c r="E15" s="15"/>
      <c r="F15" s="15"/>
      <c r="G15" s="15"/>
      <c r="H15" s="15"/>
      <c r="I15" s="15"/>
      <c r="J15" s="15"/>
      <c r="K15" s="15" t="s">
        <v>126</v>
      </c>
      <c r="L15" s="15"/>
      <c r="M15" s="15"/>
      <c r="N15" s="15"/>
      <c r="O15" s="15"/>
      <c r="P15" s="15"/>
      <c r="Q15" s="15"/>
    </row>
    <row r="16" spans="2:51" x14ac:dyDescent="0.25">
      <c r="K16" s="15" t="s">
        <v>127</v>
      </c>
    </row>
    <row r="17" spans="2:17" x14ac:dyDescent="0.25">
      <c r="B17" s="15"/>
      <c r="C17" s="15"/>
      <c r="D17" s="15"/>
      <c r="E17" s="15"/>
      <c r="F17" s="15"/>
      <c r="G17" s="15"/>
      <c r="H17" s="15"/>
      <c r="I17" s="15"/>
      <c r="J17" s="15"/>
      <c r="K17" s="15" t="s">
        <v>128</v>
      </c>
      <c r="L17" s="15"/>
      <c r="M17" s="15"/>
      <c r="N17" s="15"/>
      <c r="O17" s="15"/>
      <c r="P17" s="15"/>
      <c r="Q17" s="15"/>
    </row>
    <row r="18" spans="2:17" x14ac:dyDescent="0.25">
      <c r="B18" s="15"/>
      <c r="C18" s="15"/>
      <c r="D18" s="15"/>
      <c r="E18" s="15"/>
      <c r="F18" s="15"/>
      <c r="G18" s="15"/>
      <c r="H18" s="15"/>
      <c r="I18" s="15"/>
      <c r="J18" s="15"/>
      <c r="K18" s="15"/>
      <c r="L18" s="15"/>
      <c r="M18" s="15"/>
      <c r="N18" s="15"/>
      <c r="O18" s="15"/>
      <c r="P18" s="15"/>
      <c r="Q18" s="15"/>
    </row>
    <row r="19" spans="2:17" x14ac:dyDescent="0.25">
      <c r="B19" s="15">
        <v>7</v>
      </c>
      <c r="C19" t="s">
        <v>107</v>
      </c>
      <c r="D19" s="15"/>
      <c r="E19" s="15"/>
      <c r="F19" s="15"/>
      <c r="G19" s="15"/>
      <c r="H19" s="15"/>
      <c r="I19" s="15"/>
      <c r="J19" s="15"/>
      <c r="K19" s="15"/>
      <c r="L19" s="15"/>
      <c r="M19" s="15"/>
      <c r="N19" s="15"/>
      <c r="O19" s="15"/>
      <c r="P19" s="15"/>
      <c r="Q19" s="15"/>
    </row>
    <row r="20" spans="2:17" x14ac:dyDescent="0.25">
      <c r="B20" s="15"/>
      <c r="C20" t="s">
        <v>171</v>
      </c>
      <c r="D20" s="15"/>
      <c r="E20" s="15"/>
      <c r="F20" s="15"/>
      <c r="G20" s="15"/>
      <c r="H20" s="15"/>
      <c r="I20" s="15"/>
      <c r="J20" s="15"/>
      <c r="K20" s="15"/>
      <c r="L20" s="15"/>
      <c r="M20" s="15"/>
      <c r="N20" s="15"/>
      <c r="O20" s="15"/>
      <c r="P20" s="15"/>
      <c r="Q20" s="15"/>
    </row>
    <row r="21" spans="2:17" x14ac:dyDescent="0.25">
      <c r="B21" s="15"/>
      <c r="D21" s="15"/>
      <c r="E21" s="15"/>
      <c r="F21" s="15"/>
      <c r="G21" s="15"/>
      <c r="H21" s="15"/>
      <c r="I21" s="15"/>
      <c r="J21" s="15"/>
      <c r="K21" s="15"/>
      <c r="L21" s="15"/>
      <c r="M21" s="15"/>
      <c r="N21" s="15"/>
      <c r="O21" s="15"/>
      <c r="P21" s="15"/>
      <c r="Q21" s="15"/>
    </row>
    <row r="22" spans="2:17" x14ac:dyDescent="0.25">
      <c r="B22" s="15">
        <v>8</v>
      </c>
      <c r="C22" s="15" t="s">
        <v>1</v>
      </c>
      <c r="D22" s="15"/>
      <c r="E22" s="15"/>
      <c r="F22" s="15"/>
      <c r="G22" s="15"/>
      <c r="H22" s="15"/>
      <c r="I22" s="15"/>
      <c r="J22" s="15"/>
      <c r="K22" t="s">
        <v>129</v>
      </c>
      <c r="L22" s="15"/>
      <c r="M22" s="15"/>
      <c r="N22" s="15"/>
      <c r="O22" s="15"/>
      <c r="P22" s="15"/>
      <c r="Q22" s="15"/>
    </row>
    <row r="23" spans="2:17" x14ac:dyDescent="0.25">
      <c r="B23" s="15"/>
      <c r="C23" s="15"/>
      <c r="D23" s="15"/>
      <c r="E23" s="15"/>
      <c r="F23" s="15"/>
      <c r="G23" s="15"/>
      <c r="H23" s="15"/>
      <c r="I23" s="15"/>
      <c r="J23" s="15"/>
      <c r="K23" t="s">
        <v>111</v>
      </c>
      <c r="L23" s="15"/>
      <c r="M23" s="15"/>
      <c r="N23" s="15"/>
      <c r="O23" s="15"/>
      <c r="P23" s="15"/>
      <c r="Q23" s="15"/>
    </row>
    <row r="24" spans="2:17" x14ac:dyDescent="0.25">
      <c r="B24" s="15"/>
      <c r="C24" s="15"/>
      <c r="D24" s="15"/>
      <c r="E24" s="15"/>
      <c r="F24" s="15"/>
      <c r="G24" s="15"/>
      <c r="H24" s="15"/>
      <c r="I24" s="15"/>
      <c r="J24" s="15"/>
      <c r="K24" t="s">
        <v>137</v>
      </c>
      <c r="L24" s="15"/>
      <c r="M24" s="15"/>
      <c r="N24" s="15"/>
      <c r="O24" s="15"/>
      <c r="P24" s="15"/>
      <c r="Q24" s="15"/>
    </row>
    <row r="25" spans="2:17" x14ac:dyDescent="0.25">
      <c r="B25" s="15"/>
      <c r="C25" s="15"/>
      <c r="D25" s="15"/>
      <c r="E25" s="15"/>
      <c r="F25" s="15"/>
      <c r="G25" s="15"/>
      <c r="H25" s="15"/>
      <c r="I25" s="15"/>
      <c r="J25" s="15"/>
      <c r="K25" t="s">
        <v>138</v>
      </c>
      <c r="L25" s="15"/>
      <c r="M25" s="15"/>
      <c r="N25" s="15"/>
      <c r="O25" s="15"/>
      <c r="P25" s="15"/>
      <c r="Q25" s="15"/>
    </row>
    <row r="26" spans="2:17" x14ac:dyDescent="0.25">
      <c r="B26" s="15"/>
      <c r="C26" s="15"/>
      <c r="D26" s="15"/>
      <c r="E26" s="15"/>
      <c r="F26" s="15"/>
      <c r="G26" s="15"/>
      <c r="H26" s="15"/>
      <c r="I26" s="15"/>
      <c r="J26" s="15"/>
      <c r="K26" t="s">
        <v>139</v>
      </c>
      <c r="L26" s="15"/>
      <c r="M26" s="15"/>
      <c r="N26" s="15"/>
      <c r="O26" s="15"/>
      <c r="P26" s="15"/>
      <c r="Q26" s="15"/>
    </row>
    <row r="27" spans="2:17" x14ac:dyDescent="0.25">
      <c r="B27" s="15">
        <v>9</v>
      </c>
      <c r="C27" s="15" t="s">
        <v>11</v>
      </c>
      <c r="D27" s="15"/>
      <c r="E27" s="15"/>
      <c r="F27" s="15"/>
      <c r="G27" s="15"/>
      <c r="H27" s="15"/>
      <c r="I27" s="15"/>
      <c r="J27" s="15"/>
      <c r="K27" t="s">
        <v>130</v>
      </c>
      <c r="L27" s="15"/>
      <c r="M27" s="15"/>
      <c r="N27" s="15"/>
      <c r="O27" s="15"/>
      <c r="P27" s="15"/>
      <c r="Q27" s="15"/>
    </row>
    <row r="28" spans="2:17" x14ac:dyDescent="0.25">
      <c r="B28" s="15">
        <v>10</v>
      </c>
      <c r="C28" s="15" t="s">
        <v>131</v>
      </c>
      <c r="D28" s="15"/>
      <c r="E28" s="15"/>
      <c r="F28" s="15"/>
      <c r="G28" s="15"/>
      <c r="H28" s="15"/>
      <c r="I28" s="15"/>
      <c r="J28" s="15"/>
      <c r="K28" t="s">
        <v>132</v>
      </c>
      <c r="L28" s="15"/>
      <c r="M28" s="15"/>
      <c r="N28" s="15"/>
      <c r="O28" s="15"/>
      <c r="P28" s="15"/>
      <c r="Q28" s="15"/>
    </row>
    <row r="29" spans="2:17" x14ac:dyDescent="0.25">
      <c r="B29" s="15">
        <v>11</v>
      </c>
      <c r="C29" s="15" t="s">
        <v>44</v>
      </c>
      <c r="D29" s="15"/>
      <c r="E29" s="15"/>
      <c r="F29" s="15"/>
      <c r="G29" s="15"/>
      <c r="H29" s="15"/>
      <c r="I29" s="15"/>
      <c r="J29" s="15"/>
      <c r="K29" t="s">
        <v>112</v>
      </c>
      <c r="L29" s="15"/>
      <c r="M29" s="15"/>
      <c r="N29" s="15"/>
      <c r="O29" s="15"/>
      <c r="P29" s="15"/>
      <c r="Q29" s="15"/>
    </row>
    <row r="30" spans="2:17" x14ac:dyDescent="0.25">
      <c r="B30" s="15">
        <v>12</v>
      </c>
      <c r="C30" t="s">
        <v>143</v>
      </c>
      <c r="D30" s="15"/>
      <c r="E30" s="15"/>
      <c r="F30" s="15"/>
      <c r="G30" s="15"/>
      <c r="H30" s="15"/>
      <c r="I30" s="15"/>
      <c r="J30" s="15"/>
      <c r="K30" t="s">
        <v>133</v>
      </c>
      <c r="L30" s="15"/>
      <c r="M30" s="15"/>
      <c r="N30" s="15"/>
      <c r="O30" s="15"/>
      <c r="P30" s="15"/>
      <c r="Q30" s="15"/>
    </row>
    <row r="31" spans="2:17" x14ac:dyDescent="0.25">
      <c r="B31" s="15">
        <v>13</v>
      </c>
      <c r="C31" s="15" t="s">
        <v>158</v>
      </c>
      <c r="D31" s="15"/>
      <c r="E31" s="15"/>
      <c r="F31" s="15"/>
      <c r="G31" s="15"/>
      <c r="H31" s="15"/>
      <c r="I31" s="15"/>
      <c r="J31" s="15"/>
      <c r="K31" t="s">
        <v>160</v>
      </c>
      <c r="L31" s="15"/>
      <c r="M31" s="15"/>
      <c r="N31" s="15"/>
      <c r="O31" s="15"/>
      <c r="P31" s="15"/>
      <c r="Q31" s="15"/>
    </row>
    <row r="32" spans="2:17" x14ac:dyDescent="0.25">
      <c r="B32" s="15"/>
      <c r="C32" s="15" t="s">
        <v>159</v>
      </c>
      <c r="D32" s="15"/>
      <c r="E32" s="15"/>
      <c r="F32" s="15"/>
      <c r="G32" s="15"/>
      <c r="H32" s="15"/>
      <c r="I32" s="15"/>
      <c r="J32" s="15"/>
      <c r="K32" t="s">
        <v>161</v>
      </c>
      <c r="L32" s="15"/>
      <c r="M32" s="15"/>
      <c r="N32" s="15"/>
      <c r="O32" s="15"/>
      <c r="P32" s="15"/>
      <c r="Q32" s="15"/>
    </row>
    <row r="33" spans="2:48" x14ac:dyDescent="0.25">
      <c r="C33" t="s">
        <v>144</v>
      </c>
      <c r="D33" s="15"/>
      <c r="E33" s="15"/>
      <c r="F33" s="15"/>
      <c r="G33" s="15"/>
      <c r="H33" s="15"/>
      <c r="I33" s="15"/>
      <c r="J33" s="15"/>
      <c r="L33" s="15"/>
      <c r="M33" s="15"/>
      <c r="N33" s="15"/>
      <c r="O33" s="15"/>
      <c r="P33" s="15"/>
      <c r="Q33" s="15"/>
    </row>
    <row r="34" spans="2:48" x14ac:dyDescent="0.25">
      <c r="B34" s="15"/>
      <c r="D34" s="15"/>
      <c r="E34" s="15"/>
      <c r="F34" s="15"/>
      <c r="G34" s="15"/>
      <c r="H34" s="15"/>
      <c r="I34" s="15"/>
      <c r="J34" s="15"/>
      <c r="L34" s="15"/>
      <c r="M34" s="15"/>
      <c r="N34" s="15"/>
      <c r="O34" s="15"/>
      <c r="P34" s="15"/>
      <c r="Q34" s="15"/>
    </row>
    <row r="35" spans="2:48" x14ac:dyDescent="0.25">
      <c r="B35" s="15">
        <v>14</v>
      </c>
      <c r="C35" s="15" t="s">
        <v>2</v>
      </c>
      <c r="D35" s="15"/>
      <c r="E35" s="15"/>
      <c r="F35" s="15"/>
      <c r="G35" s="15"/>
      <c r="H35" s="15"/>
      <c r="I35" s="15"/>
      <c r="J35" s="15"/>
      <c r="K35" t="s">
        <v>134</v>
      </c>
      <c r="L35" s="15"/>
      <c r="M35" s="15"/>
      <c r="N35" s="15"/>
      <c r="O35" s="15"/>
      <c r="P35" s="15"/>
      <c r="Q35" s="15"/>
    </row>
    <row r="36" spans="2:48" x14ac:dyDescent="0.25">
      <c r="B36" s="15">
        <v>15</v>
      </c>
      <c r="C36" s="15" t="s">
        <v>3</v>
      </c>
      <c r="D36" s="15"/>
      <c r="E36" s="15"/>
      <c r="F36" s="15"/>
      <c r="G36" s="15"/>
      <c r="H36" s="15"/>
      <c r="I36" s="15"/>
      <c r="J36" s="15"/>
      <c r="K36" t="s">
        <v>134</v>
      </c>
      <c r="L36" s="15"/>
      <c r="M36" s="15"/>
      <c r="N36" s="15"/>
      <c r="O36" s="15"/>
      <c r="P36" s="15"/>
      <c r="Q36" s="15"/>
    </row>
    <row r="37" spans="2:48" x14ac:dyDescent="0.25">
      <c r="B37" s="15">
        <v>16</v>
      </c>
      <c r="C37" s="15" t="s">
        <v>24</v>
      </c>
      <c r="D37" s="15"/>
      <c r="E37" s="15"/>
      <c r="F37" s="15"/>
      <c r="G37" s="15"/>
      <c r="H37" s="15"/>
      <c r="I37" s="15"/>
      <c r="J37" s="15"/>
      <c r="K37" t="s">
        <v>135</v>
      </c>
      <c r="L37" s="15"/>
      <c r="M37" s="15"/>
      <c r="N37" s="15"/>
      <c r="O37" s="15"/>
      <c r="P37" s="15"/>
      <c r="Q37" s="15"/>
    </row>
    <row r="38" spans="2:48" x14ac:dyDescent="0.25">
      <c r="K38" t="s">
        <v>136</v>
      </c>
    </row>
    <row r="39" spans="2:48" x14ac:dyDescent="0.25">
      <c r="B39" s="15"/>
      <c r="C39" s="15"/>
      <c r="D39" s="15"/>
      <c r="E39" s="15"/>
      <c r="F39" s="15"/>
      <c r="G39" s="15"/>
      <c r="H39" s="15"/>
      <c r="I39" s="15"/>
      <c r="J39" s="15"/>
      <c r="K39" s="15"/>
      <c r="L39" s="15"/>
      <c r="M39" s="15"/>
      <c r="N39" s="15"/>
      <c r="O39" s="15"/>
      <c r="P39" s="15"/>
      <c r="Q39" s="15"/>
    </row>
    <row r="40" spans="2:48" x14ac:dyDescent="0.25">
      <c r="B40" s="15"/>
      <c r="C40" t="s">
        <v>103</v>
      </c>
      <c r="D40" s="15"/>
      <c r="E40" s="15"/>
      <c r="F40" s="15"/>
      <c r="G40" s="15"/>
      <c r="H40" s="15"/>
      <c r="I40" s="15"/>
      <c r="J40" s="15"/>
      <c r="K40" s="15"/>
      <c r="L40" s="15"/>
      <c r="M40" s="15"/>
      <c r="N40" s="15"/>
      <c r="O40" s="15"/>
      <c r="P40" s="15"/>
      <c r="Q40" s="15"/>
    </row>
    <row r="41" spans="2:48" x14ac:dyDescent="0.25">
      <c r="B41" s="15"/>
      <c r="C41" t="s">
        <v>113</v>
      </c>
      <c r="D41" s="15"/>
      <c r="E41" s="15"/>
      <c r="F41" s="15"/>
      <c r="G41" s="15"/>
      <c r="H41" s="15"/>
      <c r="I41" s="15"/>
      <c r="J41" s="15"/>
      <c r="K41" s="15"/>
      <c r="L41" s="15"/>
      <c r="M41" s="15"/>
      <c r="N41" s="15"/>
      <c r="O41" s="15"/>
      <c r="P41" s="15"/>
      <c r="Q41" s="15"/>
    </row>
    <row r="42" spans="2:48" x14ac:dyDescent="0.25">
      <c r="B42" s="15"/>
      <c r="C42" s="107" t="s">
        <v>114</v>
      </c>
      <c r="D42" s="110"/>
      <c r="E42" s="110"/>
      <c r="F42" s="110"/>
      <c r="G42" s="110"/>
      <c r="H42" s="110"/>
      <c r="I42" s="110"/>
      <c r="J42" s="110"/>
      <c r="K42" s="110"/>
      <c r="L42" s="110"/>
      <c r="M42" s="110"/>
      <c r="N42" s="110"/>
      <c r="O42" s="110"/>
      <c r="P42" s="110"/>
      <c r="Q42" s="110"/>
      <c r="R42" s="107"/>
      <c r="S42" s="107"/>
      <c r="T42" s="107"/>
      <c r="U42" s="107"/>
      <c r="V42" s="107"/>
      <c r="W42" s="107"/>
      <c r="X42" s="107"/>
    </row>
    <row r="43" spans="2:48" x14ac:dyDescent="0.25">
      <c r="B43" s="15">
        <v>17</v>
      </c>
      <c r="C43" s="15" t="s">
        <v>140</v>
      </c>
      <c r="D43" s="15"/>
      <c r="E43" s="15"/>
      <c r="F43" s="15"/>
      <c r="G43" s="15"/>
      <c r="H43" s="15"/>
      <c r="I43" s="15"/>
      <c r="J43" s="15"/>
      <c r="K43" t="s">
        <v>141</v>
      </c>
      <c r="L43" s="15"/>
      <c r="M43" s="15"/>
      <c r="N43" s="15"/>
      <c r="O43" s="15"/>
      <c r="P43" s="15"/>
      <c r="Q43" s="15"/>
    </row>
    <row r="44" spans="2:48" x14ac:dyDescent="0.25">
      <c r="B44" s="15">
        <v>18</v>
      </c>
      <c r="C44" t="s">
        <v>142</v>
      </c>
      <c r="K44" t="s">
        <v>145</v>
      </c>
    </row>
    <row r="45" spans="2:48" x14ac:dyDescent="0.25">
      <c r="B45" s="15">
        <v>19</v>
      </c>
      <c r="C45" s="15" t="s">
        <v>24</v>
      </c>
      <c r="D45" s="15"/>
      <c r="E45" s="15"/>
      <c r="F45" s="15"/>
      <c r="G45" s="15"/>
      <c r="H45" s="15"/>
      <c r="I45" s="15"/>
      <c r="J45" s="15"/>
      <c r="K45" t="s">
        <v>146</v>
      </c>
      <c r="L45" s="15"/>
      <c r="M45" s="15"/>
      <c r="N45" s="15"/>
      <c r="O45" s="15"/>
      <c r="P45" s="15"/>
      <c r="Q45" s="15"/>
    </row>
    <row r="46" spans="2:48" x14ac:dyDescent="0.25">
      <c r="B46" s="15">
        <v>20</v>
      </c>
      <c r="C46" s="15" t="s">
        <v>147</v>
      </c>
      <c r="D46" s="15"/>
      <c r="E46" s="15"/>
      <c r="F46" s="15"/>
      <c r="G46" s="15"/>
      <c r="H46" s="15"/>
      <c r="I46" s="15"/>
      <c r="J46" s="15"/>
      <c r="K46" s="148" t="s">
        <v>149</v>
      </c>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R46" s="108"/>
      <c r="AS46" s="108"/>
      <c r="AT46" s="108"/>
      <c r="AU46" s="108"/>
      <c r="AV46" s="108"/>
    </row>
    <row r="47" spans="2:48" x14ac:dyDescent="0.25">
      <c r="B47" s="15"/>
      <c r="C47" t="s">
        <v>148</v>
      </c>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M47" s="108"/>
      <c r="AN47" s="108"/>
      <c r="AO47" s="108"/>
      <c r="AP47" s="108"/>
      <c r="AQ47" s="108"/>
    </row>
    <row r="48" spans="2:48" x14ac:dyDescent="0.25">
      <c r="B48" s="15">
        <v>21</v>
      </c>
      <c r="C48" s="15" t="s">
        <v>150</v>
      </c>
      <c r="D48" s="15"/>
      <c r="E48" s="15"/>
      <c r="F48" s="15"/>
      <c r="G48" s="15"/>
      <c r="H48" s="15"/>
      <c r="I48" s="15"/>
      <c r="J48" s="15"/>
      <c r="K48" t="s">
        <v>151</v>
      </c>
      <c r="L48" s="15"/>
      <c r="M48" s="15"/>
      <c r="N48" s="15"/>
      <c r="O48" s="15"/>
      <c r="P48" s="15"/>
      <c r="Q48" s="15"/>
    </row>
    <row r="49" spans="2:38" x14ac:dyDescent="0.25">
      <c r="B49" s="15"/>
      <c r="AL49" s="108"/>
    </row>
    <row r="50" spans="2:38" x14ac:dyDescent="0.25">
      <c r="D50" t="s">
        <v>104</v>
      </c>
    </row>
    <row r="51" spans="2:38" x14ac:dyDescent="0.25">
      <c r="D51" t="s">
        <v>170</v>
      </c>
      <c r="AJ51" s="108"/>
    </row>
    <row r="52" spans="2:38" x14ac:dyDescent="0.25">
      <c r="B52" s="15"/>
      <c r="C52" s="15"/>
      <c r="D52" t="s">
        <v>105</v>
      </c>
      <c r="I52" s="15"/>
      <c r="J52" s="15"/>
      <c r="K52" s="15"/>
      <c r="L52" s="15"/>
      <c r="M52" s="15"/>
      <c r="N52" s="15"/>
      <c r="O52" s="15"/>
      <c r="P52" s="15"/>
      <c r="Q52" s="15"/>
      <c r="AD52" s="108"/>
      <c r="AE52" s="108"/>
      <c r="AF52" s="108"/>
      <c r="AG52" s="108"/>
      <c r="AH52" s="108"/>
      <c r="AI52" s="108"/>
      <c r="AJ52" s="108"/>
    </row>
    <row r="53" spans="2:38" x14ac:dyDescent="0.25">
      <c r="B53" s="15"/>
      <c r="C53" s="15"/>
      <c r="D53" t="s">
        <v>169</v>
      </c>
      <c r="I53" s="15"/>
      <c r="J53" s="15"/>
      <c r="K53" s="15"/>
      <c r="L53" s="15"/>
      <c r="M53" s="15"/>
      <c r="N53" s="15"/>
      <c r="O53" s="15"/>
      <c r="P53" s="15"/>
      <c r="Q53" s="15"/>
      <c r="AD53" s="108"/>
      <c r="AE53" s="108"/>
      <c r="AF53" s="108"/>
      <c r="AG53" s="108"/>
      <c r="AH53" s="108"/>
      <c r="AI53" s="108"/>
      <c r="AK53" s="108"/>
    </row>
    <row r="54" spans="2:38" x14ac:dyDescent="0.25">
      <c r="C54" s="15"/>
      <c r="D54" t="s">
        <v>106</v>
      </c>
      <c r="I54" s="15"/>
      <c r="J54" s="15"/>
      <c r="K54" s="15"/>
      <c r="L54" s="15"/>
      <c r="M54" s="15"/>
      <c r="N54" s="15"/>
      <c r="O54" s="15"/>
      <c r="P54" s="15"/>
      <c r="Q54" s="15"/>
    </row>
    <row r="55" spans="2:38" x14ac:dyDescent="0.25">
      <c r="C55" s="15"/>
      <c r="D55" t="s">
        <v>219</v>
      </c>
      <c r="I55" s="15"/>
      <c r="J55" s="15"/>
      <c r="K55" s="15"/>
      <c r="L55" s="15"/>
      <c r="M55" s="15"/>
      <c r="N55" s="15"/>
      <c r="O55" s="15"/>
      <c r="P55" s="15"/>
      <c r="Q55" s="15"/>
      <c r="U55" s="108"/>
      <c r="V55" s="108"/>
      <c r="W55" s="108"/>
      <c r="X55" s="108"/>
      <c r="Y55" s="108"/>
      <c r="Z55" s="108"/>
      <c r="AA55" s="108"/>
      <c r="AB55" s="108"/>
      <c r="AC55" s="108"/>
    </row>
    <row r="56" spans="2:38" x14ac:dyDescent="0.25">
      <c r="B56" s="15"/>
      <c r="C56" s="15"/>
      <c r="D56" s="15"/>
      <c r="E56" s="15"/>
      <c r="F56" s="149" t="s">
        <v>153</v>
      </c>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row>
    <row r="57" spans="2:38" x14ac:dyDescent="0.25">
      <c r="B57" s="15"/>
      <c r="C57" s="15"/>
      <c r="D57" s="15"/>
      <c r="E57" s="15"/>
      <c r="F57" t="s">
        <v>152</v>
      </c>
      <c r="G57" s="15"/>
      <c r="H57" s="15"/>
      <c r="I57" s="15"/>
      <c r="J57" s="15"/>
      <c r="K57" s="15"/>
      <c r="L57" s="15"/>
      <c r="M57" s="15"/>
      <c r="N57" s="15"/>
      <c r="O57" s="15"/>
      <c r="P57" s="15"/>
      <c r="Q57" s="15"/>
    </row>
    <row r="58" spans="2:38" x14ac:dyDescent="0.25">
      <c r="B58" s="15"/>
      <c r="C58" s="15"/>
      <c r="D58" s="15"/>
      <c r="E58" s="15"/>
      <c r="F58" s="15"/>
      <c r="G58" s="15"/>
      <c r="H58" s="15"/>
      <c r="I58" s="15"/>
      <c r="J58" s="15"/>
      <c r="K58" s="15"/>
      <c r="L58" s="15"/>
      <c r="M58" s="15"/>
      <c r="N58" s="15"/>
      <c r="O58" s="15"/>
      <c r="P58" s="15"/>
      <c r="Q58" s="15"/>
    </row>
    <row r="59" spans="2:38" x14ac:dyDescent="0.25">
      <c r="B59" s="15"/>
      <c r="C59" s="15"/>
      <c r="D59" s="15"/>
      <c r="E59" s="15"/>
      <c r="F59" s="15"/>
      <c r="G59" s="15"/>
      <c r="H59" s="15"/>
      <c r="I59" s="15"/>
      <c r="J59" s="15"/>
      <c r="K59" s="15"/>
      <c r="L59" s="15"/>
      <c r="M59" s="15"/>
      <c r="N59" s="15"/>
      <c r="O59" s="15"/>
      <c r="P59" s="15"/>
      <c r="Q59" s="15"/>
    </row>
    <row r="60" spans="2:38" x14ac:dyDescent="0.25">
      <c r="B60" s="15"/>
      <c r="C60" s="15"/>
      <c r="D60" s="15"/>
      <c r="E60" s="15"/>
      <c r="F60" s="15"/>
      <c r="G60" s="15"/>
      <c r="H60" s="15"/>
      <c r="I60" s="15"/>
      <c r="J60" s="15"/>
      <c r="K60" s="15"/>
      <c r="L60" s="15"/>
      <c r="M60" s="15"/>
      <c r="N60" s="15"/>
      <c r="O60" s="15"/>
      <c r="P60" s="15"/>
      <c r="Q60" s="15"/>
    </row>
    <row r="61" spans="2:38" x14ac:dyDescent="0.25">
      <c r="B61" s="15"/>
    </row>
    <row r="62" spans="2:38" x14ac:dyDescent="0.25">
      <c r="B62" s="15"/>
    </row>
    <row r="63" spans="2:38" x14ac:dyDescent="0.25">
      <c r="B63" s="15"/>
    </row>
  </sheetData>
  <sheetProtection password="DFE1" sheet="1" objects="1" scenarios="1" selectLockedCells="1"/>
  <mergeCells count="4">
    <mergeCell ref="K10:AL11"/>
    <mergeCell ref="K12:AL14"/>
    <mergeCell ref="K46:AK47"/>
    <mergeCell ref="F56:AC56"/>
  </mergeCells>
  <phoneticPr fontId="1"/>
  <hyperlinks>
    <hyperlink ref="F56" r:id="rId1" display="mailto:jl7spa@hotmail.com"/>
    <hyperlink ref="T46:AV46" r:id="rId2" display="mailto：swim_sendai1987@yahoo.co.jp"/>
    <hyperlink ref="F56:AC56" r:id="rId3" display="swim_sendai1987@yahoo.co.jp （ここをクリックして下さい)"/>
  </hyperlinks>
  <pageMargins left="0.75" right="0.75" top="1" bottom="1" header="0.51200000000000001" footer="0.51200000000000001"/>
  <pageSetup paperSize="9" orientation="portrait" horizontalDpi="4294967294" verticalDpi="1200"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Y140"/>
  <sheetViews>
    <sheetView tabSelected="1" view="pageBreakPreview" zoomScale="60" zoomScaleNormal="100" workbookViewId="0">
      <pane xSplit="1" ySplit="16" topLeftCell="B108" activePane="bottomRight" state="frozen"/>
      <selection pane="topRight" activeCell="B1" sqref="B1"/>
      <selection pane="bottomLeft" activeCell="A17" sqref="A17"/>
      <selection pane="bottomRight" activeCell="F2" sqref="F2:H2"/>
    </sheetView>
  </sheetViews>
  <sheetFormatPr defaultRowHeight="12.75" outlineLevelCol="1" x14ac:dyDescent="0.25"/>
  <cols>
    <col min="1" max="1" width="4" customWidth="1"/>
    <col min="2" max="2" width="6.59765625" customWidth="1"/>
    <col min="3" max="3" width="7.3984375" customWidth="1"/>
    <col min="4" max="4" width="14.73046875" customWidth="1"/>
    <col min="5" max="5" width="5.86328125" customWidth="1"/>
    <col min="6" max="6" width="14.265625" customWidth="1"/>
    <col min="7" max="7" width="4.73046875" customWidth="1"/>
    <col min="8" max="8" width="19.86328125" customWidth="1"/>
    <col min="9" max="9" width="8.265625" customWidth="1"/>
    <col min="10" max="10" width="6" customWidth="1"/>
    <col min="11" max="11" width="10.265625" customWidth="1"/>
    <col min="12" max="12" width="12.59765625" customWidth="1"/>
    <col min="13" max="13" width="12.73046875" bestFit="1" customWidth="1"/>
    <col min="14" max="14" width="4.59765625" customWidth="1"/>
    <col min="15" max="15" width="10.46484375" customWidth="1"/>
    <col min="16" max="16" width="12.265625" customWidth="1"/>
    <col min="17" max="17" width="2.265625" hidden="1" customWidth="1"/>
    <col min="18" max="18" width="2.59765625" hidden="1" customWidth="1"/>
    <col min="19" max="19" width="8.1328125" hidden="1" customWidth="1" outlineLevel="1"/>
    <col min="20" max="25" width="7.46484375" hidden="1" customWidth="1" outlineLevel="1"/>
    <col min="26" max="30" width="6.46484375" hidden="1" customWidth="1" outlineLevel="1"/>
    <col min="31" max="31" width="1.46484375" hidden="1" customWidth="1"/>
    <col min="32" max="32" width="12.86328125" hidden="1" customWidth="1" outlineLevel="1"/>
    <col min="33" max="37" width="13.73046875" hidden="1" customWidth="1" outlineLevel="1"/>
    <col min="38" max="38" width="1.59765625" hidden="1" customWidth="1"/>
    <col min="39" max="42" width="11.1328125" hidden="1" customWidth="1" outlineLevel="1"/>
    <col min="43" max="43" width="14.86328125" hidden="1" customWidth="1" outlineLevel="1"/>
    <col min="44" max="44" width="12.265625" hidden="1" customWidth="1" outlineLevel="1"/>
    <col min="45" max="45" width="2.265625" hidden="1" customWidth="1"/>
    <col min="46" max="46" width="12.59765625" hidden="1" customWidth="1"/>
    <col min="47" max="47" width="5.59765625" hidden="1" customWidth="1"/>
    <col min="48" max="49" width="0" hidden="1" customWidth="1"/>
    <col min="50" max="50" width="5.59765625" hidden="1" customWidth="1"/>
    <col min="51" max="51" width="0" hidden="1" customWidth="1"/>
    <col min="52" max="52" width="8.3984375" hidden="1" customWidth="1"/>
    <col min="53" max="55" width="0" hidden="1" customWidth="1"/>
    <col min="56" max="56" width="6.1328125" hidden="1" customWidth="1"/>
    <col min="57" max="57" width="0" hidden="1" customWidth="1"/>
    <col min="58" max="58" width="5.3984375" hidden="1" customWidth="1"/>
    <col min="59" max="59" width="6.265625" hidden="1" customWidth="1"/>
    <col min="60" max="60" width="9.46484375" hidden="1" customWidth="1"/>
    <col min="61" max="61" width="5.265625" hidden="1" customWidth="1"/>
    <col min="62" max="62" width="7.73046875" hidden="1" customWidth="1"/>
    <col min="63" max="73" width="5.265625" hidden="1" customWidth="1"/>
    <col min="74" max="74" width="0" hidden="1" customWidth="1"/>
    <col min="75" max="75" width="24" hidden="1" customWidth="1"/>
    <col min="76" max="76" width="64.86328125" hidden="1" customWidth="1"/>
    <col min="77" max="77" width="39.86328125" hidden="1" customWidth="1"/>
    <col min="78" max="78" width="0" hidden="1" customWidth="1"/>
  </cols>
  <sheetData>
    <row r="1" spans="1:77" ht="32.25" customHeight="1" thickBot="1" x14ac:dyDescent="0.3">
      <c r="D1" s="150" t="s">
        <v>220</v>
      </c>
      <c r="E1" s="151"/>
      <c r="F1" s="151"/>
      <c r="G1" s="151"/>
      <c r="H1" s="151"/>
      <c r="I1" s="151"/>
      <c r="J1" s="151"/>
      <c r="K1" s="151"/>
      <c r="L1" s="151"/>
      <c r="M1" s="25"/>
      <c r="N1" s="25"/>
      <c r="O1" s="25"/>
      <c r="P1" s="25"/>
      <c r="T1" s="71"/>
      <c r="U1" s="71"/>
      <c r="V1" s="71"/>
      <c r="W1" s="71"/>
      <c r="X1" s="71"/>
      <c r="Y1" s="71"/>
      <c r="Z1" s="71"/>
      <c r="AA1" s="71"/>
      <c r="AB1" s="71"/>
      <c r="AC1" s="71"/>
      <c r="AD1" s="71"/>
      <c r="AE1" s="71"/>
      <c r="AF1" s="71"/>
      <c r="AG1" s="71"/>
      <c r="AH1" s="71"/>
      <c r="AI1" s="71"/>
      <c r="AJ1" s="71"/>
      <c r="AK1" s="71"/>
      <c r="AL1" s="71"/>
      <c r="AM1" s="71" t="s">
        <v>225</v>
      </c>
      <c r="AN1" s="71"/>
      <c r="AO1" s="71"/>
      <c r="AP1" s="71"/>
      <c r="AQ1" s="71"/>
      <c r="AR1" s="71"/>
      <c r="AS1" s="71"/>
      <c r="AT1" s="71"/>
      <c r="AU1" s="71"/>
      <c r="AV1" s="71"/>
      <c r="AW1" s="71"/>
      <c r="AX1" s="71"/>
      <c r="AY1" s="71"/>
      <c r="AZ1" s="71"/>
      <c r="BA1" s="71"/>
      <c r="BB1" s="71"/>
      <c r="BC1" s="71"/>
      <c r="BD1" s="71"/>
      <c r="BE1" s="71"/>
      <c r="BF1" s="72" t="s">
        <v>14</v>
      </c>
      <c r="BG1" s="73"/>
      <c r="BH1" s="71"/>
      <c r="BI1" s="64" t="s">
        <v>15</v>
      </c>
      <c r="BJ1" s="72"/>
      <c r="BK1" s="72"/>
      <c r="BL1" s="64"/>
      <c r="BM1" s="18"/>
      <c r="BN1" s="18"/>
      <c r="BP1" s="70"/>
      <c r="BQ1" s="70"/>
      <c r="BR1" s="70"/>
      <c r="BS1" s="70"/>
      <c r="BT1" s="70"/>
      <c r="BU1" s="70"/>
      <c r="BW1" t="s">
        <v>162</v>
      </c>
      <c r="BX1" s="64"/>
    </row>
    <row r="2" spans="1:77" ht="18" customHeight="1" thickBot="1" x14ac:dyDescent="0.3">
      <c r="B2" s="152" t="s">
        <v>22</v>
      </c>
      <c r="C2" s="153"/>
      <c r="D2" s="153"/>
      <c r="E2" s="154"/>
      <c r="F2" s="155"/>
      <c r="G2" s="156"/>
      <c r="H2" s="157"/>
      <c r="K2" s="158"/>
      <c r="L2" s="159"/>
      <c r="M2" s="2" t="s">
        <v>28</v>
      </c>
      <c r="N2" s="158" t="s">
        <v>29</v>
      </c>
      <c r="O2" s="159"/>
      <c r="P2" s="27"/>
      <c r="Q2" s="27"/>
      <c r="R2" s="27"/>
      <c r="S2" s="27"/>
      <c r="T2" s="74"/>
      <c r="U2" s="74"/>
      <c r="V2" s="74"/>
      <c r="W2" s="74"/>
      <c r="X2" s="74"/>
      <c r="Y2" s="74"/>
      <c r="Z2" s="74"/>
      <c r="AA2" s="74"/>
      <c r="AB2" s="74"/>
      <c r="AC2" s="71"/>
      <c r="AD2" s="71"/>
      <c r="AE2" s="71"/>
      <c r="AF2" s="71"/>
      <c r="AG2" s="71"/>
      <c r="AH2" s="71"/>
      <c r="AI2" s="71"/>
      <c r="AJ2" s="71"/>
      <c r="AK2" s="71"/>
      <c r="AL2" s="71"/>
      <c r="AM2" s="75">
        <v>42674</v>
      </c>
      <c r="AN2" s="75"/>
      <c r="AO2" s="75"/>
      <c r="AP2" s="75"/>
      <c r="AQ2" s="75"/>
      <c r="AR2" s="71"/>
      <c r="AS2" s="71"/>
      <c r="AT2" s="71"/>
      <c r="AU2" s="71"/>
      <c r="AV2" s="71"/>
      <c r="AW2" s="71"/>
      <c r="AX2" s="71"/>
      <c r="AY2" s="71"/>
      <c r="AZ2" s="71"/>
      <c r="BA2" s="71"/>
      <c r="BB2" s="71"/>
      <c r="BC2" s="71"/>
      <c r="BD2" s="71"/>
      <c r="BE2" s="71"/>
      <c r="BF2" s="76">
        <v>25</v>
      </c>
      <c r="BG2" s="77">
        <v>50</v>
      </c>
      <c r="BH2" s="77">
        <v>100</v>
      </c>
      <c r="BI2" s="76">
        <v>25</v>
      </c>
      <c r="BJ2" s="77">
        <v>50</v>
      </c>
      <c r="BK2" s="77">
        <v>100</v>
      </c>
      <c r="BL2" s="78"/>
      <c r="BM2" s="8"/>
      <c r="BN2" s="8"/>
      <c r="BV2">
        <v>1</v>
      </c>
      <c r="BW2" s="115" t="s">
        <v>214</v>
      </c>
      <c r="BX2" s="115"/>
      <c r="BY2" t="s">
        <v>213</v>
      </c>
    </row>
    <row r="3" spans="1:77" ht="18" customHeight="1" x14ac:dyDescent="0.25">
      <c r="B3" s="152" t="s">
        <v>51</v>
      </c>
      <c r="C3" s="153"/>
      <c r="D3" s="153"/>
      <c r="E3" s="154"/>
      <c r="F3" s="160"/>
      <c r="G3" s="156"/>
      <c r="H3" s="157"/>
      <c r="K3" s="3" t="s">
        <v>14</v>
      </c>
      <c r="L3" s="4"/>
      <c r="M3" s="118">
        <f>COUNTIF(E20:E137,"男")</f>
        <v>0</v>
      </c>
      <c r="N3" s="161">
        <f>SUMPRODUCT((E20:E137="男")*($I$20:$I$137&lt;&gt;""))+SUMPRODUCT((E20:E137="男")*($M$20:$M$137&lt;&gt;""))</f>
        <v>0</v>
      </c>
      <c r="O3" s="162"/>
      <c r="P3" s="28"/>
      <c r="Q3" s="28"/>
      <c r="R3" s="28"/>
      <c r="S3" s="28"/>
      <c r="T3" s="79"/>
      <c r="U3" s="79"/>
      <c r="V3" s="79"/>
      <c r="W3" s="79"/>
      <c r="X3" s="79"/>
      <c r="Y3" s="79"/>
      <c r="Z3" s="79"/>
      <c r="AA3" s="79"/>
      <c r="AB3" s="79"/>
      <c r="AC3" s="71"/>
      <c r="AD3" s="71"/>
      <c r="AE3" s="71"/>
      <c r="AF3" s="71"/>
      <c r="AG3" s="71"/>
      <c r="AH3" s="71"/>
      <c r="AI3" s="71"/>
      <c r="AJ3" s="71"/>
      <c r="AK3" s="71"/>
      <c r="AL3" s="71"/>
      <c r="AM3" s="71" t="s">
        <v>88</v>
      </c>
      <c r="AN3" s="71"/>
      <c r="AO3" s="71"/>
      <c r="AP3" s="71"/>
      <c r="AQ3" s="71"/>
      <c r="AR3" s="71"/>
      <c r="AS3" s="71"/>
      <c r="AT3" s="71"/>
      <c r="AU3" s="71"/>
      <c r="AV3" s="71"/>
      <c r="AW3" s="71"/>
      <c r="AX3" s="71"/>
      <c r="AY3" s="71"/>
      <c r="AZ3" s="71"/>
      <c r="BA3" s="71"/>
      <c r="BB3" s="71"/>
      <c r="BC3" s="71"/>
      <c r="BD3" s="71"/>
      <c r="BE3" s="71" t="s">
        <v>6</v>
      </c>
      <c r="BF3" s="80">
        <f>COUNTIF($BK$20:$BL$139,111)</f>
        <v>0</v>
      </c>
      <c r="BG3" s="81">
        <f>COUNTIF($BK$20:$BL$139,112)</f>
        <v>0</v>
      </c>
      <c r="BH3" s="81">
        <f>COUNTIF($BK$20:$BL$139,113)</f>
        <v>0</v>
      </c>
      <c r="BI3" s="80">
        <f>COUNTIF($BK$20:$BL$139,211)</f>
        <v>0</v>
      </c>
      <c r="BJ3" s="81">
        <f>COUNTIF($BK$20:$BL$139,212)</f>
        <v>0</v>
      </c>
      <c r="BK3" s="81">
        <f>COUNTIF($BK$20:$BL$139,213)</f>
        <v>0</v>
      </c>
      <c r="BL3" s="78"/>
      <c r="BM3" s="8"/>
      <c r="BN3" s="8"/>
      <c r="BV3">
        <v>2</v>
      </c>
      <c r="BW3" s="115" t="s">
        <v>66</v>
      </c>
      <c r="BX3" s="115" t="s">
        <v>164</v>
      </c>
      <c r="BY3" t="s">
        <v>175</v>
      </c>
    </row>
    <row r="4" spans="1:77" ht="18" customHeight="1" x14ac:dyDescent="0.25">
      <c r="B4" s="171" t="s">
        <v>52</v>
      </c>
      <c r="C4" s="172"/>
      <c r="D4" s="172"/>
      <c r="E4" s="173"/>
      <c r="F4" s="160"/>
      <c r="G4" s="156"/>
      <c r="H4" s="157"/>
      <c r="K4" s="3" t="s">
        <v>15</v>
      </c>
      <c r="L4" s="4"/>
      <c r="M4" s="118">
        <f>COUNTIF(E20:E137,"女")</f>
        <v>0</v>
      </c>
      <c r="N4" s="161">
        <f>SUMPRODUCT((E20:E137="女")*($I$20:$I$137&lt;&gt;""))+SUMPRODUCT((E20:E137="女")*($M$20:$M$137&lt;&gt;""))</f>
        <v>0</v>
      </c>
      <c r="O4" s="162"/>
      <c r="P4" s="28"/>
      <c r="Q4" s="28"/>
      <c r="R4" s="28"/>
      <c r="S4" s="28"/>
      <c r="T4" s="79"/>
      <c r="U4" s="79"/>
      <c r="V4" s="79"/>
      <c r="W4" s="79"/>
      <c r="X4" s="79"/>
      <c r="Y4" s="79"/>
      <c r="Z4" s="79"/>
      <c r="AA4" s="79"/>
      <c r="AB4" s="79"/>
      <c r="AC4" s="71"/>
      <c r="AD4" s="71"/>
      <c r="AE4" s="71"/>
      <c r="AF4" s="71"/>
      <c r="AG4" s="71"/>
      <c r="AH4" s="71"/>
      <c r="AI4" s="71"/>
      <c r="AJ4" s="71"/>
      <c r="AK4" s="71"/>
      <c r="AL4" s="71"/>
      <c r="AM4" s="75">
        <v>42653</v>
      </c>
      <c r="AN4" s="75"/>
      <c r="AO4" s="75"/>
      <c r="AP4" s="75"/>
      <c r="AQ4" s="75"/>
      <c r="AR4" s="71"/>
      <c r="AS4" s="71"/>
      <c r="AT4" s="71"/>
      <c r="AU4" s="71"/>
      <c r="AV4" s="71"/>
      <c r="AW4" s="71"/>
      <c r="AX4" s="71"/>
      <c r="AY4" s="71"/>
      <c r="AZ4" s="71"/>
      <c r="BA4" s="71"/>
      <c r="BB4" s="71"/>
      <c r="BC4" s="71"/>
      <c r="BD4" s="71"/>
      <c r="BE4" s="71" t="s">
        <v>5</v>
      </c>
      <c r="BF4" s="78">
        <f>COUNTIF($BK$20:$BL$139,121)</f>
        <v>0</v>
      </c>
      <c r="BG4" s="82">
        <f>COUNTIF($BK$20:$BL$139,122)</f>
        <v>0</v>
      </c>
      <c r="BH4" s="82">
        <f>COUNTIF($BK$20:$BL$139,123)</f>
        <v>0</v>
      </c>
      <c r="BI4" s="78">
        <f>COUNTIF($BK$20:$BL$139,221)</f>
        <v>0</v>
      </c>
      <c r="BJ4" s="82">
        <f>COUNTIF($BK$20:$BL$139,222)</f>
        <v>0</v>
      </c>
      <c r="BK4" s="82">
        <f>COUNTIF($BK$20:$BL$139,223)</f>
        <v>0</v>
      </c>
      <c r="BL4" s="78"/>
      <c r="BM4" s="8"/>
      <c r="BN4" s="8"/>
      <c r="BV4">
        <v>3</v>
      </c>
      <c r="BW4" s="115" t="s">
        <v>67</v>
      </c>
      <c r="BX4" s="115" t="s">
        <v>165</v>
      </c>
      <c r="BY4" t="s">
        <v>176</v>
      </c>
    </row>
    <row r="5" spans="1:77" ht="18" customHeight="1" x14ac:dyDescent="0.25">
      <c r="B5" s="152" t="s">
        <v>17</v>
      </c>
      <c r="C5" s="153"/>
      <c r="D5" s="153"/>
      <c r="E5" s="154"/>
      <c r="F5" s="163"/>
      <c r="G5" s="164"/>
      <c r="H5" s="165"/>
      <c r="K5" s="3" t="s">
        <v>30</v>
      </c>
      <c r="L5" s="4"/>
      <c r="M5" s="118">
        <f>SUM(M3:M4)</f>
        <v>0</v>
      </c>
      <c r="N5" s="161">
        <f>SUM(N3:N4)</f>
        <v>0</v>
      </c>
      <c r="O5" s="162"/>
      <c r="P5" s="28"/>
      <c r="Q5" s="28"/>
      <c r="R5" s="28"/>
      <c r="S5" s="28"/>
      <c r="T5" s="79"/>
      <c r="U5" s="79"/>
      <c r="V5" s="79"/>
      <c r="W5" s="79"/>
      <c r="X5" s="79"/>
      <c r="Y5" s="79"/>
      <c r="Z5" s="79"/>
      <c r="AA5" s="79"/>
      <c r="AB5" s="79"/>
      <c r="AC5" s="71"/>
      <c r="AD5" s="71"/>
      <c r="AE5" s="71"/>
      <c r="AF5" s="71"/>
      <c r="AG5" s="71"/>
      <c r="AH5" s="71"/>
      <c r="AI5" s="71"/>
      <c r="AJ5" s="71"/>
      <c r="AK5" s="71"/>
      <c r="AL5" s="71"/>
      <c r="AM5" s="75">
        <v>42674</v>
      </c>
      <c r="AN5" s="75"/>
      <c r="AO5" s="75"/>
      <c r="AP5" s="75"/>
      <c r="AQ5" s="75"/>
      <c r="AR5" s="71"/>
      <c r="AS5" s="71"/>
      <c r="AT5" s="71"/>
      <c r="AU5" s="71"/>
      <c r="AV5" s="71"/>
      <c r="AW5" s="71"/>
      <c r="AX5" s="71"/>
      <c r="AY5" s="71"/>
      <c r="AZ5" s="71"/>
      <c r="BA5" s="71"/>
      <c r="BB5" s="71"/>
      <c r="BC5" s="71"/>
      <c r="BD5" s="71"/>
      <c r="BE5" s="71" t="s">
        <v>7</v>
      </c>
      <c r="BF5" s="78">
        <f>COUNTIF($BK$20:$BL$139,131)</f>
        <v>0</v>
      </c>
      <c r="BG5" s="82">
        <f>COUNTIF($BK$20:$BL$139,132)</f>
        <v>0</v>
      </c>
      <c r="BH5" s="82">
        <f>COUNTIF($BK$20:$BL$139,133)</f>
        <v>0</v>
      </c>
      <c r="BI5" s="78">
        <f>COUNTIF($BK$20:$BL$139,231)</f>
        <v>0</v>
      </c>
      <c r="BJ5" s="82">
        <f>COUNTIF($BK$20:$BL$139,232)</f>
        <v>0</v>
      </c>
      <c r="BK5" s="82">
        <f>COUNTIF($BK$20:$BL$139,233)</f>
        <v>0</v>
      </c>
      <c r="BL5" s="78"/>
      <c r="BM5" s="8"/>
      <c r="BN5" s="8"/>
      <c r="BV5">
        <v>4</v>
      </c>
      <c r="BW5" s="115" t="s">
        <v>44</v>
      </c>
      <c r="BX5" s="115" t="s">
        <v>163</v>
      </c>
      <c r="BY5" t="s">
        <v>174</v>
      </c>
    </row>
    <row r="6" spans="1:77" ht="18" customHeight="1" x14ac:dyDescent="0.25">
      <c r="B6" s="152" t="s">
        <v>4</v>
      </c>
      <c r="C6" s="153"/>
      <c r="D6" s="153"/>
      <c r="E6" s="154"/>
      <c r="F6" s="163"/>
      <c r="G6" s="164"/>
      <c r="H6" s="165"/>
      <c r="K6" s="57"/>
      <c r="L6" s="57"/>
      <c r="M6" s="58"/>
      <c r="N6" s="166"/>
      <c r="O6" s="153"/>
      <c r="P6" s="8"/>
      <c r="Q6" s="8"/>
      <c r="R6" s="8"/>
      <c r="S6" s="8"/>
      <c r="T6" s="82"/>
      <c r="U6" s="82"/>
      <c r="V6" s="82"/>
      <c r="W6" s="82"/>
      <c r="X6" s="82"/>
      <c r="Y6" s="82"/>
      <c r="Z6" s="82"/>
      <c r="AA6" s="82"/>
      <c r="AB6" s="82"/>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t="s">
        <v>13</v>
      </c>
      <c r="BF6" s="78">
        <f>COUNTIF($BK$20:$BL$139,141)</f>
        <v>0</v>
      </c>
      <c r="BG6" s="82">
        <f>COUNTIF($BK$20:$BL$139,142)</f>
        <v>0</v>
      </c>
      <c r="BH6" s="82">
        <f>COUNTIF($BK$20:$BL$139,143)</f>
        <v>0</v>
      </c>
      <c r="BI6" s="78">
        <f>COUNTIF($BK$20:$BL$139,241)</f>
        <v>0</v>
      </c>
      <c r="BJ6" s="82">
        <f>COUNTIF($BK$20:$BL$139,242)</f>
        <v>0</v>
      </c>
      <c r="BK6" s="82">
        <f>COUNTIF($BK$20:$BL$139,243)</f>
        <v>0</v>
      </c>
      <c r="BL6" s="78"/>
      <c r="BM6" s="8"/>
      <c r="BN6" s="8"/>
      <c r="BV6">
        <v>5</v>
      </c>
      <c r="BW6" s="123" t="s">
        <v>178</v>
      </c>
      <c r="BX6" s="123" t="s">
        <v>179</v>
      </c>
      <c r="BY6" t="s">
        <v>180</v>
      </c>
    </row>
    <row r="7" spans="1:77" ht="18" customHeight="1" thickBot="1" x14ac:dyDescent="0.3">
      <c r="B7" s="152" t="s">
        <v>173</v>
      </c>
      <c r="C7" s="153"/>
      <c r="D7" s="153"/>
      <c r="E7" s="154"/>
      <c r="F7" s="163"/>
      <c r="G7" s="164"/>
      <c r="H7" s="165"/>
      <c r="K7" s="167" t="s">
        <v>65</v>
      </c>
      <c r="L7" s="168"/>
      <c r="M7" s="118">
        <f>M5</f>
        <v>0</v>
      </c>
      <c r="N7" s="169">
        <f>M7*2000</f>
        <v>0</v>
      </c>
      <c r="O7" s="170"/>
      <c r="P7" s="29"/>
      <c r="Q7" s="29"/>
      <c r="R7" s="29"/>
      <c r="S7" s="29"/>
      <c r="T7" s="83"/>
      <c r="U7" s="83"/>
      <c r="V7" s="83"/>
      <c r="W7" s="83"/>
      <c r="X7" s="83"/>
      <c r="Y7" s="83"/>
      <c r="Z7" s="83"/>
      <c r="AA7" s="83"/>
      <c r="AB7" s="83"/>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t="s">
        <v>10</v>
      </c>
      <c r="BF7" s="84">
        <f>COUNTIF($BK$20:$BL$139,151)</f>
        <v>0</v>
      </c>
      <c r="BG7" s="85">
        <f>COUNTIF($BK$20:$BL$139,152)</f>
        <v>0</v>
      </c>
      <c r="BH7" s="85">
        <f>COUNTIF($BK$20:$BL$139,153)</f>
        <v>0</v>
      </c>
      <c r="BI7" s="84">
        <f>COUNTIF($BK$20:$BL$139,251)</f>
        <v>0</v>
      </c>
      <c r="BJ7" s="85">
        <f>COUNTIF($BK$20:$BL$139,252)</f>
        <v>0</v>
      </c>
      <c r="BK7" s="85">
        <f>COUNTIF($BK$20:$BL$139,253)</f>
        <v>0</v>
      </c>
      <c r="BL7" s="78"/>
      <c r="BM7" s="8"/>
      <c r="BN7" s="8"/>
      <c r="BV7">
        <v>6</v>
      </c>
      <c r="BW7" s="115" t="s">
        <v>68</v>
      </c>
      <c r="BX7" s="115" t="s">
        <v>166</v>
      </c>
      <c r="BY7" t="s">
        <v>181</v>
      </c>
    </row>
    <row r="8" spans="1:77" ht="18" customHeight="1" x14ac:dyDescent="0.25">
      <c r="B8" s="152" t="s">
        <v>18</v>
      </c>
      <c r="C8" s="153"/>
      <c r="D8" s="153"/>
      <c r="E8" s="154"/>
      <c r="F8" s="186"/>
      <c r="G8" s="187"/>
      <c r="H8" s="188"/>
      <c r="K8" s="59"/>
      <c r="L8" s="59"/>
      <c r="M8" s="60"/>
      <c r="N8" s="189"/>
      <c r="O8" s="190"/>
      <c r="P8" s="29"/>
      <c r="Q8" s="29"/>
      <c r="R8" s="29"/>
      <c r="S8" s="29"/>
      <c r="T8" s="83"/>
      <c r="U8" s="83"/>
      <c r="V8" s="83"/>
      <c r="W8" s="83"/>
      <c r="X8" s="83"/>
      <c r="Y8" s="83"/>
      <c r="Z8" s="83"/>
      <c r="AA8" s="83"/>
      <c r="AB8" s="83"/>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81"/>
      <c r="BG8" s="81"/>
      <c r="BH8" s="81"/>
      <c r="BI8" s="81"/>
      <c r="BJ8" s="81"/>
      <c r="BK8" s="81"/>
      <c r="BL8" s="82"/>
      <c r="BM8" s="8"/>
      <c r="BN8" s="8"/>
      <c r="BO8" s="8"/>
      <c r="BP8" s="8"/>
      <c r="BS8" s="8"/>
      <c r="BV8">
        <v>7</v>
      </c>
      <c r="BW8" s="115" t="s">
        <v>69</v>
      </c>
      <c r="BX8" s="115" t="s">
        <v>167</v>
      </c>
      <c r="BY8" t="s">
        <v>182</v>
      </c>
    </row>
    <row r="9" spans="1:77" ht="18" customHeight="1" x14ac:dyDescent="0.25">
      <c r="B9" s="152" t="s">
        <v>19</v>
      </c>
      <c r="C9" s="153"/>
      <c r="D9" s="153"/>
      <c r="E9" s="154"/>
      <c r="F9" s="176"/>
      <c r="G9" s="177"/>
      <c r="H9" s="178"/>
      <c r="K9" s="191" t="s">
        <v>86</v>
      </c>
      <c r="L9" s="1" t="s">
        <v>87</v>
      </c>
      <c r="M9" s="193" t="str">
        <f>PHONETIC(M10)</f>
        <v/>
      </c>
      <c r="N9" s="194"/>
      <c r="O9" s="194"/>
      <c r="P9" s="29"/>
      <c r="Q9" s="29"/>
      <c r="R9" s="29"/>
      <c r="S9" s="29"/>
      <c r="T9" s="83"/>
      <c r="U9" s="83"/>
      <c r="V9" s="83"/>
      <c r="W9" s="83"/>
      <c r="X9" s="83"/>
      <c r="Y9" s="83"/>
      <c r="Z9" s="83"/>
      <c r="AA9" s="83"/>
      <c r="AB9" s="83"/>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8"/>
      <c r="BN9" s="8"/>
      <c r="BO9" s="8"/>
      <c r="BP9" s="8"/>
      <c r="BS9" s="8"/>
      <c r="BV9">
        <v>8</v>
      </c>
      <c r="BW9" s="115" t="s">
        <v>188</v>
      </c>
      <c r="BX9" s="115"/>
      <c r="BY9" t="s">
        <v>186</v>
      </c>
    </row>
    <row r="10" spans="1:77" ht="18" customHeight="1" x14ac:dyDescent="0.25">
      <c r="B10" s="152" t="s">
        <v>20</v>
      </c>
      <c r="C10" s="153"/>
      <c r="D10" s="153"/>
      <c r="E10" s="154"/>
      <c r="F10" s="176"/>
      <c r="G10" s="177"/>
      <c r="H10" s="178"/>
      <c r="K10" s="191"/>
      <c r="L10" s="195" t="s">
        <v>1</v>
      </c>
      <c r="M10" s="174"/>
      <c r="N10" s="175"/>
      <c r="O10" s="175"/>
      <c r="P10" s="29"/>
      <c r="Q10" s="29"/>
      <c r="R10" s="29"/>
      <c r="S10" s="29"/>
      <c r="T10" s="83"/>
      <c r="U10" s="83"/>
      <c r="V10" s="83"/>
      <c r="W10" s="83"/>
      <c r="X10" s="83"/>
      <c r="Y10" s="83"/>
      <c r="Z10" s="83"/>
      <c r="AA10" s="83"/>
      <c r="AB10" s="83"/>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8"/>
      <c r="BN10" s="8"/>
      <c r="BO10" s="8"/>
      <c r="BP10" s="8"/>
      <c r="BV10">
        <v>9</v>
      </c>
      <c r="BW10" s="115" t="s">
        <v>189</v>
      </c>
      <c r="BX10" s="115"/>
      <c r="BY10" t="s">
        <v>190</v>
      </c>
    </row>
    <row r="11" spans="1:77" ht="18" customHeight="1" x14ac:dyDescent="0.25">
      <c r="B11" s="152" t="s">
        <v>21</v>
      </c>
      <c r="C11" s="153"/>
      <c r="D11" s="153"/>
      <c r="E11" s="154"/>
      <c r="F11" s="176"/>
      <c r="G11" s="177"/>
      <c r="H11" s="178"/>
      <c r="K11" s="192"/>
      <c r="L11" s="195"/>
      <c r="M11" s="175"/>
      <c r="N11" s="175"/>
      <c r="O11" s="175"/>
      <c r="P11" s="30"/>
      <c r="Q11" s="30"/>
      <c r="R11" s="30"/>
      <c r="S11" s="30"/>
      <c r="T11" s="86"/>
      <c r="U11" s="86"/>
      <c r="V11" s="86"/>
      <c r="W11" s="86"/>
      <c r="X11" s="86"/>
      <c r="Y11" s="86"/>
      <c r="Z11" s="86"/>
      <c r="AA11" s="86"/>
      <c r="AB11" s="86"/>
      <c r="AC11" s="86"/>
      <c r="AD11" s="86"/>
      <c r="AE11" s="86"/>
      <c r="AF11" s="86"/>
      <c r="AG11" s="71"/>
      <c r="AH11" s="71"/>
      <c r="AI11" s="71"/>
      <c r="AJ11" s="71"/>
      <c r="AK11" s="71"/>
      <c r="AL11" s="71"/>
      <c r="AM11" s="71"/>
      <c r="AN11" s="75"/>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V11">
        <v>10</v>
      </c>
      <c r="BW11" s="115" t="s">
        <v>192</v>
      </c>
      <c r="BX11" s="115"/>
      <c r="BY11" t="s">
        <v>193</v>
      </c>
    </row>
    <row r="12" spans="1:77" x14ac:dyDescent="0.25">
      <c r="S12" s="64" t="s">
        <v>94</v>
      </c>
      <c r="U12" s="71"/>
      <c r="V12" s="71"/>
      <c r="W12" s="71"/>
      <c r="X12" s="71"/>
      <c r="Y12" s="71"/>
      <c r="Z12" s="71"/>
      <c r="AA12" s="71"/>
      <c r="AB12" s="71"/>
      <c r="AC12" s="71"/>
      <c r="AD12" s="71"/>
      <c r="AE12" s="71"/>
      <c r="AF12" s="71"/>
      <c r="AG12" s="71"/>
      <c r="AH12" s="71"/>
      <c r="AI12" s="71"/>
      <c r="AJ12" s="71"/>
      <c r="AK12" s="71"/>
      <c r="AL12" s="71"/>
      <c r="AM12" s="71"/>
      <c r="AN12" s="75"/>
      <c r="AO12" s="71"/>
      <c r="AP12" s="71"/>
      <c r="AQ12" s="71"/>
      <c r="AR12" s="71"/>
      <c r="AS12" s="71"/>
      <c r="AT12" s="71" t="s">
        <v>95</v>
      </c>
      <c r="AU12" s="71"/>
      <c r="AV12" s="71"/>
      <c r="AW12" s="71"/>
      <c r="AX12" s="71"/>
      <c r="AY12" s="71"/>
      <c r="AZ12" s="71"/>
      <c r="BA12" s="71"/>
      <c r="BB12" s="71"/>
      <c r="BC12" s="71"/>
      <c r="BD12" s="71"/>
      <c r="BE12" s="71"/>
      <c r="BF12" s="71" t="s">
        <v>94</v>
      </c>
      <c r="BG12" s="71"/>
      <c r="BH12" s="71"/>
      <c r="BI12" s="71"/>
      <c r="BJ12" s="71"/>
      <c r="BK12" s="71"/>
      <c r="BL12" s="71" t="s">
        <v>95</v>
      </c>
      <c r="BV12">
        <v>11</v>
      </c>
      <c r="BW12" s="115" t="s">
        <v>194</v>
      </c>
      <c r="BX12" s="115"/>
      <c r="BY12" t="s">
        <v>195</v>
      </c>
    </row>
    <row r="13" spans="1:77" ht="13.15" thickBot="1" x14ac:dyDescent="0.3">
      <c r="I13" s="179" t="s">
        <v>25</v>
      </c>
      <c r="J13" s="180"/>
      <c r="K13" s="180"/>
      <c r="L13" s="181"/>
      <c r="M13" s="182" t="s">
        <v>26</v>
      </c>
      <c r="N13" s="183"/>
      <c r="O13" s="183"/>
      <c r="P13" s="184"/>
      <c r="Q13" s="26"/>
      <c r="R13" s="131"/>
      <c r="S13" s="18"/>
      <c r="U13" s="64"/>
      <c r="V13" s="64"/>
      <c r="W13" s="64"/>
      <c r="X13" s="64"/>
      <c r="Y13" s="64"/>
      <c r="Z13" s="64"/>
      <c r="AA13" s="64"/>
      <c r="AB13" s="64"/>
      <c r="AC13" s="64"/>
      <c r="AD13" s="64"/>
      <c r="AE13" s="130"/>
      <c r="AF13" s="119"/>
      <c r="AG13" s="185" t="s">
        <v>61</v>
      </c>
      <c r="AH13" s="185"/>
      <c r="AI13" s="185"/>
      <c r="AJ13" s="185"/>
      <c r="AK13" s="185"/>
      <c r="AL13" s="130"/>
      <c r="AM13" s="185" t="s">
        <v>62</v>
      </c>
      <c r="AN13" s="185"/>
      <c r="AO13" s="185"/>
      <c r="AP13" s="185"/>
      <c r="AQ13" s="185"/>
      <c r="AR13" s="185"/>
      <c r="AS13" s="130"/>
      <c r="AT13" s="64" t="s">
        <v>63</v>
      </c>
      <c r="AU13" s="64"/>
      <c r="AV13" s="71"/>
      <c r="AW13" s="71"/>
      <c r="AX13" s="71"/>
      <c r="AY13" s="71"/>
      <c r="AZ13" s="71"/>
      <c r="BA13" s="71"/>
      <c r="BB13" s="71"/>
      <c r="BC13" s="71"/>
      <c r="BD13" s="71"/>
      <c r="BE13" s="71"/>
      <c r="BF13" s="71"/>
      <c r="BG13" s="71"/>
      <c r="BH13" s="71"/>
      <c r="BI13" s="71"/>
      <c r="BJ13" s="71"/>
      <c r="BK13" s="71"/>
      <c r="BL13" s="71"/>
      <c r="BV13">
        <v>12</v>
      </c>
      <c r="BW13" s="123" t="s">
        <v>203</v>
      </c>
      <c r="BX13" s="115"/>
      <c r="BY13" t="s">
        <v>204</v>
      </c>
    </row>
    <row r="14" spans="1:77" x14ac:dyDescent="0.25">
      <c r="A14" s="196" t="s">
        <v>23</v>
      </c>
      <c r="B14" s="191" t="s">
        <v>1</v>
      </c>
      <c r="C14" s="191"/>
      <c r="D14" s="196" t="s">
        <v>8</v>
      </c>
      <c r="E14" s="2" t="s">
        <v>11</v>
      </c>
      <c r="F14" s="34" t="s">
        <v>53</v>
      </c>
      <c r="G14" s="1" t="s">
        <v>44</v>
      </c>
      <c r="H14" s="33"/>
      <c r="I14" s="199" t="s">
        <v>2</v>
      </c>
      <c r="J14" s="201" t="s">
        <v>3</v>
      </c>
      <c r="K14" s="203" t="s">
        <v>24</v>
      </c>
      <c r="L14" s="205"/>
      <c r="M14" s="199" t="s">
        <v>2</v>
      </c>
      <c r="N14" s="201" t="s">
        <v>3</v>
      </c>
      <c r="O14" s="203" t="s">
        <v>24</v>
      </c>
      <c r="P14" s="205"/>
      <c r="Q14" s="26"/>
      <c r="R14" s="131"/>
      <c r="S14" s="18"/>
      <c r="T14" s="99" t="s">
        <v>66</v>
      </c>
      <c r="U14" s="99" t="s">
        <v>67</v>
      </c>
      <c r="V14" s="99" t="s">
        <v>44</v>
      </c>
      <c r="W14" s="10"/>
      <c r="X14" s="99"/>
      <c r="Y14" s="99"/>
      <c r="Z14" s="99"/>
      <c r="AA14" s="99"/>
      <c r="AB14" s="99"/>
      <c r="AC14" s="99"/>
      <c r="AD14" s="99"/>
      <c r="AE14" s="99"/>
      <c r="AF14" s="125"/>
      <c r="AG14" t="s">
        <v>198</v>
      </c>
      <c r="AH14" t="s">
        <v>199</v>
      </c>
      <c r="AI14" s="99" t="s">
        <v>93</v>
      </c>
      <c r="AJ14" s="129" t="s">
        <v>205</v>
      </c>
      <c r="AM14" s="99"/>
      <c r="AN14" t="s">
        <v>198</v>
      </c>
      <c r="AO14" t="s">
        <v>199</v>
      </c>
      <c r="AP14" s="99" t="s">
        <v>93</v>
      </c>
      <c r="AQ14" s="129" t="s">
        <v>205</v>
      </c>
      <c r="AR14" s="99"/>
      <c r="AS14" s="99"/>
      <c r="AT14" s="87"/>
      <c r="AU14" s="87"/>
      <c r="AV14" s="71"/>
      <c r="AW14" s="71"/>
      <c r="AX14" s="71" t="s">
        <v>11</v>
      </c>
      <c r="AY14" s="71"/>
      <c r="AZ14" s="71" t="s">
        <v>27</v>
      </c>
      <c r="BA14" s="71"/>
      <c r="BB14" s="71"/>
      <c r="BC14" s="71" t="s">
        <v>2</v>
      </c>
      <c r="BD14" s="71" t="s">
        <v>3</v>
      </c>
      <c r="BE14" s="71"/>
      <c r="BF14" s="71" t="s">
        <v>45</v>
      </c>
      <c r="BG14" s="80" t="s">
        <v>46</v>
      </c>
      <c r="BH14" s="88" t="s">
        <v>47</v>
      </c>
      <c r="BI14" s="81" t="s">
        <v>48</v>
      </c>
      <c r="BJ14" s="81" t="s">
        <v>49</v>
      </c>
      <c r="BK14" s="89" t="s">
        <v>50</v>
      </c>
      <c r="BL14" s="90" t="s">
        <v>48</v>
      </c>
      <c r="BV14">
        <v>13</v>
      </c>
      <c r="BW14" s="115" t="s">
        <v>196</v>
      </c>
      <c r="BX14" s="115"/>
      <c r="BY14" t="s">
        <v>197</v>
      </c>
    </row>
    <row r="15" spans="1:77" x14ac:dyDescent="0.25">
      <c r="A15" s="197"/>
      <c r="B15" s="109" t="s">
        <v>108</v>
      </c>
      <c r="C15" s="109" t="s">
        <v>109</v>
      </c>
      <c r="D15" s="198"/>
      <c r="E15" s="2" t="s">
        <v>90</v>
      </c>
      <c r="F15" s="192" t="s">
        <v>91</v>
      </c>
      <c r="G15" s="192"/>
      <c r="H15" s="35" t="s">
        <v>89</v>
      </c>
      <c r="I15" s="200"/>
      <c r="J15" s="202"/>
      <c r="K15" s="204"/>
      <c r="L15" s="206"/>
      <c r="M15" s="200"/>
      <c r="N15" s="202"/>
      <c r="O15" s="204"/>
      <c r="P15" s="206"/>
      <c r="Q15" s="18"/>
      <c r="R15" s="131"/>
      <c r="S15" s="18"/>
      <c r="T15" s="99" t="s">
        <v>177</v>
      </c>
      <c r="U15" s="99" t="s">
        <v>68</v>
      </c>
      <c r="V15" s="99" t="s">
        <v>69</v>
      </c>
      <c r="W15" s="10"/>
      <c r="X15" s="10"/>
      <c r="Y15" s="99" t="s">
        <v>70</v>
      </c>
      <c r="Z15" s="99" t="s">
        <v>55</v>
      </c>
      <c r="AA15" s="99" t="s">
        <v>56</v>
      </c>
      <c r="AB15" s="99" t="s">
        <v>57</v>
      </c>
      <c r="AC15" s="99" t="s">
        <v>58</v>
      </c>
      <c r="AD15" s="99" t="s">
        <v>59</v>
      </c>
      <c r="AE15" s="99"/>
      <c r="AF15" s="125"/>
      <c r="AG15" s="99" t="s">
        <v>60</v>
      </c>
      <c r="AH15" s="99" t="s">
        <v>154</v>
      </c>
      <c r="AI15" s="99" t="s">
        <v>155</v>
      </c>
      <c r="AJ15" s="99" t="s">
        <v>156</v>
      </c>
      <c r="AK15" s="99"/>
      <c r="AL15" s="99"/>
      <c r="AM15" s="87"/>
      <c r="AN15" s="99" t="s">
        <v>60</v>
      </c>
      <c r="AO15" s="99" t="s">
        <v>154</v>
      </c>
      <c r="AP15" s="99" t="s">
        <v>155</v>
      </c>
      <c r="AQ15" s="99" t="s">
        <v>156</v>
      </c>
      <c r="AR15" s="87"/>
      <c r="AS15" s="87"/>
      <c r="AT15" s="87"/>
      <c r="AU15" s="87"/>
      <c r="AV15" s="71"/>
      <c r="AW15" s="71"/>
      <c r="AX15" s="71"/>
      <c r="AY15" s="71"/>
      <c r="AZ15" s="71"/>
      <c r="BA15" s="71"/>
      <c r="BB15" s="71"/>
      <c r="BC15" s="71"/>
      <c r="BD15" s="71"/>
      <c r="BE15" s="71"/>
      <c r="BF15" s="71"/>
      <c r="BG15" s="78"/>
      <c r="BH15" s="91"/>
      <c r="BI15" s="82"/>
      <c r="BJ15" s="82"/>
      <c r="BK15" s="92"/>
      <c r="BL15" s="93"/>
      <c r="BV15">
        <v>14</v>
      </c>
      <c r="BW15" s="115" t="s">
        <v>154</v>
      </c>
      <c r="BX15" s="115"/>
      <c r="BY15" t="s">
        <v>200</v>
      </c>
    </row>
    <row r="16" spans="1:77" ht="13.15" thickBot="1" x14ac:dyDescent="0.3">
      <c r="A16" s="197"/>
      <c r="B16" s="207" t="s">
        <v>54</v>
      </c>
      <c r="C16" s="190"/>
      <c r="D16" s="190"/>
      <c r="E16" s="208" t="s">
        <v>92</v>
      </c>
      <c r="F16" s="209"/>
      <c r="G16" s="210"/>
      <c r="H16" s="36"/>
      <c r="I16" s="200"/>
      <c r="J16" s="202"/>
      <c r="K16" s="204"/>
      <c r="L16" s="206"/>
      <c r="M16" s="200"/>
      <c r="N16" s="202"/>
      <c r="O16" s="204"/>
      <c r="P16" s="206"/>
      <c r="Q16" s="18"/>
      <c r="R16" s="131"/>
      <c r="S16" s="18"/>
      <c r="T16" s="99" t="s">
        <v>184</v>
      </c>
      <c r="U16" s="99" t="s">
        <v>191</v>
      </c>
      <c r="V16" s="99"/>
      <c r="W16" s="99"/>
      <c r="X16" s="99"/>
      <c r="Y16" s="99"/>
      <c r="Z16" s="99"/>
      <c r="AA16" s="99"/>
      <c r="AB16" s="99"/>
      <c r="AC16" s="99"/>
      <c r="AD16" s="99"/>
      <c r="AE16" s="99"/>
      <c r="AF16" s="125"/>
      <c r="AG16" s="99"/>
      <c r="AH16" s="99"/>
      <c r="AI16" s="99"/>
      <c r="AJ16" s="99"/>
      <c r="AK16" s="99"/>
      <c r="AL16" s="99"/>
      <c r="AM16" s="87"/>
      <c r="AN16" s="87" t="s">
        <v>216</v>
      </c>
      <c r="AO16" s="87"/>
      <c r="AP16" s="87"/>
      <c r="AQ16" s="87"/>
      <c r="AR16" s="87"/>
      <c r="AS16" s="87"/>
      <c r="AT16" s="87"/>
      <c r="AU16" s="87"/>
      <c r="AV16" s="71"/>
      <c r="AW16" s="71"/>
      <c r="AX16" s="71"/>
      <c r="AY16" s="71"/>
      <c r="AZ16" s="71"/>
      <c r="BA16" s="71"/>
      <c r="BB16" s="71"/>
      <c r="BC16" s="71"/>
      <c r="BD16" s="71"/>
      <c r="BE16" s="71"/>
      <c r="BF16" s="71"/>
      <c r="BG16" s="78"/>
      <c r="BH16" s="91"/>
      <c r="BI16" s="82"/>
      <c r="BJ16" s="82"/>
      <c r="BK16" s="92"/>
      <c r="BL16" s="93"/>
      <c r="BV16">
        <v>15</v>
      </c>
      <c r="BW16" s="115" t="s">
        <v>155</v>
      </c>
      <c r="BX16" s="115"/>
      <c r="BY16" t="s">
        <v>201</v>
      </c>
    </row>
    <row r="17" spans="1:77" ht="15.75" customHeight="1" thickTop="1" x14ac:dyDescent="0.25">
      <c r="A17" s="211" t="s">
        <v>64</v>
      </c>
      <c r="B17" s="214" t="s">
        <v>211</v>
      </c>
      <c r="C17" s="214" t="s">
        <v>110</v>
      </c>
      <c r="D17" s="211" t="str">
        <f>PHONETIC(B17)&amp;" "&amp; PHONETIC(C17)</f>
        <v>センダイ タロウ</v>
      </c>
      <c r="E17" s="104" t="s">
        <v>0</v>
      </c>
      <c r="F17" s="105">
        <v>20393</v>
      </c>
      <c r="G17" s="37">
        <f>IF(ISBLANK(F17),"",IF(MONTH($AM$2)&gt;MONTH(F17),YEAR($AM$2)-YEAR(F17),IF(MONTH($AM$2)&lt;MONTH(F17),YEAR($AM$2)-YEAR(F17)-1,IF(DAY($AM$2)&gt;=DAY(F17),YEAR($AM$2)-YEAR(F17),YEAR($AM$2)-YEAR(F17)-1))))</f>
        <v>61</v>
      </c>
      <c r="H17" s="42" t="str">
        <f>IF(S17&gt;0,VLOOKUP(S17,$BV$2:$BY$30,4),"-")</f>
        <v>-</v>
      </c>
      <c r="I17" s="217" t="s">
        <v>6</v>
      </c>
      <c r="J17" s="214">
        <v>25</v>
      </c>
      <c r="K17" s="222">
        <v>12365</v>
      </c>
      <c r="L17" s="232" t="str">
        <f>IF(AF17&gt;0,VLOOKUP(AF17,$BV$2:$BY$30,4),"-")</f>
        <v>-</v>
      </c>
      <c r="M17" s="217" t="s">
        <v>6</v>
      </c>
      <c r="N17" s="214">
        <v>50</v>
      </c>
      <c r="O17" s="222">
        <v>123654</v>
      </c>
      <c r="P17" s="232" t="str">
        <f>IF(AM17&gt;0,VLOOKUP(AM17,$BV$2:$BY$30,4),"-")</f>
        <v>-</v>
      </c>
      <c r="Q17" s="45"/>
      <c r="R17" s="45"/>
      <c r="S17" s="45">
        <f>IF(S18&gt;0,SMALL(T17:AD19,S19+1),0)</f>
        <v>0</v>
      </c>
      <c r="T17" s="120">
        <f>IF(ISBLANK(B17),0,IF(ISBLANK(E17),2,0))</f>
        <v>0</v>
      </c>
      <c r="U17" s="120">
        <f>IF(ISBLANK(B17),0,IF(ISBLANK(F17),3,0))</f>
        <v>0</v>
      </c>
      <c r="V17" s="120">
        <f>IF(ISBLANK(B17),0,IF(G17&lt;=17,4,0))</f>
        <v>0</v>
      </c>
      <c r="W17" s="120">
        <v>0</v>
      </c>
      <c r="X17" s="120">
        <v>0</v>
      </c>
      <c r="Y17" s="121">
        <v>0</v>
      </c>
      <c r="Z17" s="121">
        <v>0</v>
      </c>
      <c r="AA17" s="121">
        <v>0</v>
      </c>
      <c r="AB17" s="121">
        <v>0</v>
      </c>
      <c r="AC17" s="121">
        <v>0</v>
      </c>
      <c r="AD17" s="121">
        <v>0</v>
      </c>
      <c r="AE17" s="121"/>
      <c r="AF17" s="126">
        <f>IF(AF18&gt;0,SMALL(AG17:AK19,AF19+1),0)</f>
        <v>0</v>
      </c>
      <c r="AG17" s="98">
        <f>IF(ISBLANK(I17),10,0)</f>
        <v>0</v>
      </c>
      <c r="AH17" s="98">
        <f>IF(ISBLANK(J17),11,0)</f>
        <v>0</v>
      </c>
      <c r="AI17" s="98">
        <f>IF(ISBLANK(K17),13,0)</f>
        <v>0</v>
      </c>
      <c r="AJ17" s="98">
        <f>IF(ISNUMBER(K17),0,17)</f>
        <v>0</v>
      </c>
      <c r="AK17" s="97">
        <v>0</v>
      </c>
      <c r="AL17" s="98"/>
      <c r="AM17" s="126">
        <f>IF(AM18&gt;0,SMALL(AN17:AR19,AM19+1),0)</f>
        <v>0</v>
      </c>
      <c r="AN17" s="122">
        <f>IF(AF18=0,IF(ISBLANK(M17),IF(ISBLANK(N17),IF(ISBLANK(O17),0,21),21),0))</f>
        <v>0</v>
      </c>
      <c r="AO17" s="122">
        <f>IF(ISBLANK(M17),IF(ISBLANK(N17),0,22),IF(ISBLANK(N17),22,0))</f>
        <v>0</v>
      </c>
      <c r="AP17" s="122">
        <f>IF(ISBLANK(M17),0,IF(ISBLANK(O17),24,0))</f>
        <v>0</v>
      </c>
      <c r="AQ17" s="122">
        <f>IF(ISBLANK(O17),0,IF(ISNUMBER(O17),0,28))</f>
        <v>0</v>
      </c>
      <c r="AR17" s="143">
        <v>0</v>
      </c>
      <c r="AS17" s="98"/>
      <c r="AT17" s="96">
        <f>VLOOKUP(G17,$AZ$17:$BA$138,2)</f>
        <v>60</v>
      </c>
      <c r="AU17" s="99"/>
      <c r="AV17" s="71"/>
      <c r="AW17" s="71"/>
      <c r="AX17" s="71" t="s">
        <v>0</v>
      </c>
      <c r="AY17" s="71" t="s">
        <v>58</v>
      </c>
      <c r="AZ17" s="71">
        <v>18</v>
      </c>
      <c r="BA17" s="71">
        <v>20</v>
      </c>
      <c r="BB17" s="71"/>
      <c r="BC17" s="71" t="s">
        <v>6</v>
      </c>
      <c r="BD17" s="71">
        <v>25</v>
      </c>
      <c r="BE17" s="71"/>
      <c r="BF17" s="71">
        <f>IF(E17="男",100,IF(E17="女",200,0))</f>
        <v>100</v>
      </c>
      <c r="BG17" s="78">
        <f>IF(I17="自由形",10,IF(I17="平泳ぎ",20,IF(I17="背泳ぎ",30,IF(I17="バタフライ",40,IF(I17="個人メドレー",50,0)))))</f>
        <v>10</v>
      </c>
      <c r="BH17" s="91">
        <f>IF(J17=25,1,IF(J17=50,2,IF(J17=100,3,0)))</f>
        <v>1</v>
      </c>
      <c r="BI17" s="82">
        <f>IF(M17="自由形",10,IF(M17="平泳ぎ",20,IF(M17="背泳ぎ",30,IF(M17="バタフライ",40,IF(M17="個人メドレー",50,0)))))</f>
        <v>10</v>
      </c>
      <c r="BJ17" s="82">
        <f>IF(N17=25,1,IF(N17=50,2,IF(N17=100,3,0)))</f>
        <v>2</v>
      </c>
      <c r="BK17" s="78">
        <f>BF17+BG17+BH17</f>
        <v>111</v>
      </c>
      <c r="BL17" s="91">
        <f>BF17+BI17+BJ17</f>
        <v>112</v>
      </c>
      <c r="BV17">
        <v>16</v>
      </c>
      <c r="BW17" s="115" t="s">
        <v>156</v>
      </c>
      <c r="BX17" s="115"/>
      <c r="BY17" t="s">
        <v>202</v>
      </c>
    </row>
    <row r="18" spans="1:77" ht="15.75" customHeight="1" x14ac:dyDescent="0.25">
      <c r="A18" s="212"/>
      <c r="B18" s="215"/>
      <c r="C18" s="231"/>
      <c r="D18" s="216"/>
      <c r="E18" s="124" t="s">
        <v>185</v>
      </c>
      <c r="F18" s="272" t="s">
        <v>212</v>
      </c>
      <c r="G18" s="273"/>
      <c r="H18" s="106" t="s">
        <v>183</v>
      </c>
      <c r="I18" s="218"/>
      <c r="J18" s="220"/>
      <c r="K18" s="223"/>
      <c r="L18" s="233"/>
      <c r="M18" s="218"/>
      <c r="N18" s="220"/>
      <c r="O18" s="223"/>
      <c r="P18" s="233"/>
      <c r="Q18" s="45"/>
      <c r="R18" s="45"/>
      <c r="S18" s="45">
        <f>IF(ISBLANK(B17),0,COUNTIF(T17:AD19,"&gt;0"))</f>
        <v>0</v>
      </c>
      <c r="T18" s="120">
        <f>IF(ISBLANK(B17),0,IF(ISBLANK(E18),5,0))</f>
        <v>0</v>
      </c>
      <c r="U18" s="120">
        <f>IF(ISBLANK(B17),0,IF(ISBLANK(F18),6,0))</f>
        <v>0</v>
      </c>
      <c r="V18" s="120">
        <f>IF(ISBLANK(B17),0,IF(ISBLANK(H18),7,0))</f>
        <v>0</v>
      </c>
      <c r="W18" s="120">
        <v>0</v>
      </c>
      <c r="X18" s="121">
        <v>0</v>
      </c>
      <c r="Y18" s="121">
        <f>IF(ISBLANK(B14),IF(ISBLANK(B17),0,1),0)</f>
        <v>0</v>
      </c>
      <c r="Z18" s="121">
        <v>0</v>
      </c>
      <c r="AA18" s="121">
        <v>0</v>
      </c>
      <c r="AB18" s="121">
        <v>0</v>
      </c>
      <c r="AC18" s="121">
        <v>0</v>
      </c>
      <c r="AD18" s="121">
        <v>0</v>
      </c>
      <c r="AE18" s="121"/>
      <c r="AF18" s="126">
        <f>IF(ISBLANK(B17),0,COUNTIF(AG17:AK19,"&gt;0"))</f>
        <v>0</v>
      </c>
      <c r="AG18" s="102">
        <f>IF(I17="個人メドレー",IF(J17&lt;&gt;100,12,0),0)</f>
        <v>0</v>
      </c>
      <c r="AH18" s="102">
        <f>IF(J17=25,IF(K17&lt;1000,14,0),0)</f>
        <v>0</v>
      </c>
      <c r="AI18" s="102">
        <f>IF(J17=50,IF(K17&lt;2000,15,0),0)</f>
        <v>0</v>
      </c>
      <c r="AJ18" s="102">
        <f>IF(J17=100,IF(K17&lt;4500,16,0),0)</f>
        <v>0</v>
      </c>
      <c r="AK18" s="97">
        <v>0</v>
      </c>
      <c r="AL18" s="98"/>
      <c r="AM18" s="126">
        <f>IF(ISBLANK(B17),0,IF(AF18=0,COUNTIF(AN17:AR19,"&gt;0"),COUNTIF(AN19:AP19,"&gt;0")))</f>
        <v>0</v>
      </c>
      <c r="AN18" s="144">
        <f>IF(M17="個人メドレー",IF(N17&lt;&gt;100,23,0),0)</f>
        <v>0</v>
      </c>
      <c r="AO18" s="144">
        <f>IF(N17=25,IF(O17&lt;1000,25,0),0)</f>
        <v>0</v>
      </c>
      <c r="AP18" s="144">
        <f>IF(N17=50,IF(O17&lt;2000,26,0),0)</f>
        <v>0</v>
      </c>
      <c r="AQ18" s="144">
        <f>IF(N17=100,IF(O17&lt;4500,27,0),0)</f>
        <v>0</v>
      </c>
      <c r="AR18" s="143">
        <v>0</v>
      </c>
      <c r="AS18" s="98"/>
      <c r="AT18" s="96"/>
      <c r="AU18" s="99"/>
      <c r="AV18" s="71"/>
      <c r="AW18" s="71"/>
      <c r="AX18" s="71" t="s">
        <v>12</v>
      </c>
      <c r="AY18" s="71" t="s">
        <v>59</v>
      </c>
      <c r="AZ18" s="71">
        <v>19</v>
      </c>
      <c r="BA18" s="71">
        <v>20</v>
      </c>
      <c r="BB18" s="71"/>
      <c r="BC18" s="71" t="s">
        <v>5</v>
      </c>
      <c r="BD18" s="71">
        <v>50</v>
      </c>
      <c r="BE18" s="71"/>
      <c r="BF18" s="71"/>
      <c r="BG18" s="78"/>
      <c r="BH18" s="91"/>
      <c r="BI18" s="82"/>
      <c r="BJ18" s="82"/>
      <c r="BK18" s="78"/>
      <c r="BL18" s="91"/>
      <c r="BV18">
        <v>17</v>
      </c>
      <c r="BW18" s="123" t="s">
        <v>206</v>
      </c>
      <c r="BX18" s="116"/>
      <c r="BY18" t="s">
        <v>207</v>
      </c>
    </row>
    <row r="19" spans="1:77" ht="15.75" customHeight="1" thickBot="1" x14ac:dyDescent="0.3">
      <c r="A19" s="213"/>
      <c r="B19" s="225" t="s">
        <v>187</v>
      </c>
      <c r="C19" s="226"/>
      <c r="D19" s="227"/>
      <c r="E19" s="228" t="s">
        <v>58</v>
      </c>
      <c r="F19" s="229"/>
      <c r="G19" s="230"/>
      <c r="H19" s="145"/>
      <c r="I19" s="219"/>
      <c r="J19" s="221"/>
      <c r="K19" s="224"/>
      <c r="L19" s="234"/>
      <c r="M19" s="219"/>
      <c r="N19" s="221"/>
      <c r="O19" s="224"/>
      <c r="P19" s="234"/>
      <c r="Q19" s="46"/>
      <c r="R19" s="47"/>
      <c r="S19" s="45">
        <f>COUNTIF(T17:AD19,"=0")</f>
        <v>33</v>
      </c>
      <c r="T19" s="122">
        <f>IF(COUNTIF(F18,"*区*")=0,IF(ISBLANK(B19),8,0),0)</f>
        <v>0</v>
      </c>
      <c r="U19" s="122">
        <f>IF(COUNTIF(F18,"*区*")=0,IF(ISBLANK(E19),9,0),0)</f>
        <v>0</v>
      </c>
      <c r="V19" s="122">
        <v>0</v>
      </c>
      <c r="W19" s="122">
        <v>0</v>
      </c>
      <c r="X19" s="122">
        <v>0</v>
      </c>
      <c r="Y19" s="122">
        <v>0</v>
      </c>
      <c r="Z19" s="121">
        <v>0</v>
      </c>
      <c r="AA19" s="121">
        <v>0</v>
      </c>
      <c r="AB19" s="121">
        <v>0</v>
      </c>
      <c r="AC19" s="121">
        <v>0</v>
      </c>
      <c r="AD19" s="121">
        <v>0</v>
      </c>
      <c r="AE19" s="121"/>
      <c r="AF19" s="126">
        <f>COUNTIF(AG17:AK19,"=0")</f>
        <v>15</v>
      </c>
      <c r="AG19" s="98">
        <v>0</v>
      </c>
      <c r="AH19" s="98">
        <v>0</v>
      </c>
      <c r="AI19" s="98">
        <v>0</v>
      </c>
      <c r="AJ19" s="98">
        <v>0</v>
      </c>
      <c r="AK19" s="97">
        <v>0</v>
      </c>
      <c r="AL19" s="98"/>
      <c r="AM19" s="126">
        <f>COUNTIF(AN17:AR19,"=0")</f>
        <v>15</v>
      </c>
      <c r="AN19" s="122">
        <f>IF(I17=M17,IF(J17=N17,29,0),0)</f>
        <v>0</v>
      </c>
      <c r="AO19" s="122">
        <f>IF(AF18=0,0,IF(ISBLANK(N17),0,20))</f>
        <v>0</v>
      </c>
      <c r="AP19" s="122">
        <f>IF(AF18=0,0,IF(ISBLANK(O17),0,20))</f>
        <v>0</v>
      </c>
      <c r="AQ19" s="122">
        <v>0</v>
      </c>
      <c r="AR19" s="143">
        <v>0</v>
      </c>
      <c r="AS19" s="98"/>
      <c r="AT19" s="96"/>
      <c r="AU19" s="99"/>
      <c r="AV19" s="71"/>
      <c r="AW19" s="71"/>
      <c r="AX19" s="71"/>
      <c r="AY19" s="71" t="s">
        <v>56</v>
      </c>
      <c r="AZ19" s="71">
        <v>20</v>
      </c>
      <c r="BA19" s="71">
        <v>20</v>
      </c>
      <c r="BB19" s="71"/>
      <c r="BC19" s="71" t="s">
        <v>7</v>
      </c>
      <c r="BD19" s="71">
        <v>100</v>
      </c>
      <c r="BE19" s="71"/>
      <c r="BF19" s="71"/>
      <c r="BG19" s="78"/>
      <c r="BH19" s="91"/>
      <c r="BI19" s="82"/>
      <c r="BJ19" s="82"/>
      <c r="BK19" s="78"/>
      <c r="BL19" s="91"/>
    </row>
    <row r="20" spans="1:77" ht="15.75" customHeight="1" thickTop="1" x14ac:dyDescent="0.25">
      <c r="A20" s="274">
        <v>1</v>
      </c>
      <c r="B20" s="261"/>
      <c r="C20" s="261"/>
      <c r="D20" s="274" t="str">
        <f>PHONETIC(B20)&amp;" "&amp; PHONETIC(C20)</f>
        <v xml:space="preserve"> </v>
      </c>
      <c r="E20" s="48"/>
      <c r="F20" s="114"/>
      <c r="G20" s="38" t="str">
        <f>IF(ISBLANK(F20),"",IF(MONTH($AM$2)&gt;MONTH(F20),YEAR($AM$2)-YEAR(F20),IF(MONTH($AM$2)&lt;MONTH(F20),YEAR($AM$2)-YEAR(F20)-1,IF(DAY($AM$2)&gt;=DAY(F20),YEAR($AM$2)-YEAR(F20),YEAR($AM$2)-YEAR(F20)-1))))</f>
        <v/>
      </c>
      <c r="H20" s="50" t="str">
        <f>IF(S20&gt;0,VLOOKUP(S20,$BV$2:$BY$30,4),"-")</f>
        <v>-</v>
      </c>
      <c r="I20" s="269"/>
      <c r="J20" s="261"/>
      <c r="K20" s="264"/>
      <c r="L20" s="243" t="str">
        <f>IF(AF20&gt;0,VLOOKUP(AF20,$BV$2:$BY$30,4),"-")</f>
        <v>-</v>
      </c>
      <c r="M20" s="269"/>
      <c r="N20" s="261"/>
      <c r="O20" s="264"/>
      <c r="P20" s="243" t="str">
        <f>IF(AM20&gt;0,VLOOKUP(AM20,$BV$2:$BY$30,4),"-")</f>
        <v>-</v>
      </c>
      <c r="Q20" s="51"/>
      <c r="R20" s="51"/>
      <c r="S20" s="51">
        <f>IF(S21&gt;0,SMALL(T20:AD22,S22+1),0)</f>
        <v>0</v>
      </c>
      <c r="T20" s="95">
        <f>IF(ISBLANK(B20),0,IF(ISBLANK(E20),2,0))</f>
        <v>0</v>
      </c>
      <c r="U20" s="95">
        <f>IF(ISBLANK(B20),0,IF(ISBLANK(F20),3,0))</f>
        <v>0</v>
      </c>
      <c r="V20" s="95">
        <f>IF(ISBLANK(B20),0,IF(G20&lt;=17,4,0))</f>
        <v>0</v>
      </c>
      <c r="W20" s="95">
        <v>0</v>
      </c>
      <c r="X20" s="95">
        <v>0</v>
      </c>
      <c r="Y20" s="94">
        <v>0</v>
      </c>
      <c r="Z20" s="95">
        <v>0</v>
      </c>
      <c r="AA20" s="95">
        <v>0</v>
      </c>
      <c r="AB20" s="95">
        <v>0</v>
      </c>
      <c r="AC20" s="95">
        <v>0</v>
      </c>
      <c r="AD20" s="95">
        <v>0</v>
      </c>
      <c r="AE20" s="95"/>
      <c r="AF20" s="127">
        <f>IF(AF21&gt;0,SMALL(AG20:AK22,AF22+1),0)</f>
        <v>0</v>
      </c>
      <c r="AG20" s="102">
        <f>IF(ISBLANK(I20),10,0)</f>
        <v>10</v>
      </c>
      <c r="AH20" s="102">
        <f>IF(ISBLANK(J20),11,0)</f>
        <v>11</v>
      </c>
      <c r="AI20" s="102">
        <f>IF(ISBLANK(K20),13,0)</f>
        <v>13</v>
      </c>
      <c r="AJ20" s="102">
        <f>IF(ISNUMBER(K20),0,17)</f>
        <v>17</v>
      </c>
      <c r="AK20" s="101">
        <v>0</v>
      </c>
      <c r="AL20" s="102"/>
      <c r="AM20" s="134">
        <f>IF(AM21&gt;0,SMALL(AN20:AR22,AM22+1),0)</f>
        <v>0</v>
      </c>
      <c r="AN20" s="144">
        <f>IF(AF21=0,IF(ISBLANK(M20),IF(ISBLANK(N20),IF(ISBLANK(O20),0,21),21),0))</f>
        <v>0</v>
      </c>
      <c r="AO20" s="144">
        <f>IF(ISBLANK(M20),IF(ISBLANK(N20),0,22),IF(ISBLANK(N20),22,0))</f>
        <v>0</v>
      </c>
      <c r="AP20" s="144">
        <f>IF(ISBLANK(M20),0,IF(ISBLANK(O20),24,0))</f>
        <v>0</v>
      </c>
      <c r="AQ20" s="144">
        <f>IF(ISBLANK(O20),0,IF(ISNUMBER(O20),0,28))</f>
        <v>0</v>
      </c>
      <c r="AR20" s="144">
        <v>0</v>
      </c>
      <c r="AS20" s="102"/>
      <c r="AT20" s="100" t="e">
        <f>VLOOKUP(G20,$AZ$17:$BA$138,2)</f>
        <v>#N/A</v>
      </c>
      <c r="AU20" s="99"/>
      <c r="AV20" s="71"/>
      <c r="AW20" s="71"/>
      <c r="AX20" s="71"/>
      <c r="AY20" s="71" t="s">
        <v>55</v>
      </c>
      <c r="AZ20" s="71">
        <v>21</v>
      </c>
      <c r="BA20" s="71">
        <v>20</v>
      </c>
      <c r="BB20" s="71"/>
      <c r="BC20" s="71" t="s">
        <v>13</v>
      </c>
      <c r="BD20" s="71"/>
      <c r="BE20" s="71"/>
      <c r="BF20" s="71">
        <f>IF(E20="男",100,IF(E20="女",200,0))</f>
        <v>0</v>
      </c>
      <c r="BG20" s="78">
        <f>IF(I20="自由形",10,IF(I20="平泳ぎ",20,IF(I20="背泳ぎ",30,IF(I20="バタフライ",40,IF(I20="個人メドレー",50,0)))))</f>
        <v>0</v>
      </c>
      <c r="BH20" s="91">
        <f>IF(J20=25,1,IF(J20=50,2,IF(J20=100,3,0)))</f>
        <v>0</v>
      </c>
      <c r="BI20" s="82">
        <f>IF(M20="自由形",10,IF(M20="平泳ぎ",20,IF(M20="背泳ぎ",30,IF(M20="バタフライ",40,IF(M20="個人メドレー",50,0)))))</f>
        <v>0</v>
      </c>
      <c r="BJ20" s="82">
        <f>IF(N20=25,1,IF(N20=50,2,IF(N20=100,3,0)))</f>
        <v>0</v>
      </c>
      <c r="BK20" s="78">
        <f>BF20+BG20+BH20</f>
        <v>0</v>
      </c>
      <c r="BL20" s="91">
        <f>BF20+BI20+BJ20</f>
        <v>0</v>
      </c>
      <c r="BX20" s="116"/>
    </row>
    <row r="21" spans="1:77" ht="15.75" customHeight="1" x14ac:dyDescent="0.25">
      <c r="A21" s="275"/>
      <c r="B21" s="277"/>
      <c r="C21" s="279"/>
      <c r="D21" s="278"/>
      <c r="E21" s="133"/>
      <c r="F21" s="246"/>
      <c r="G21" s="247"/>
      <c r="H21" s="55"/>
      <c r="I21" s="270"/>
      <c r="J21" s="262"/>
      <c r="K21" s="265"/>
      <c r="L21" s="267"/>
      <c r="M21" s="270"/>
      <c r="N21" s="262"/>
      <c r="O21" s="265"/>
      <c r="P21" s="244"/>
      <c r="Q21" s="51"/>
      <c r="R21" s="51"/>
      <c r="S21" s="51">
        <f>IF(ISBLANK(B20),0,COUNTIF(T20:AD22,"&gt;0"))</f>
        <v>0</v>
      </c>
      <c r="T21" s="95">
        <f>IF(ISBLANK(B20),0,IF(ISBLANK(E21),5,0))</f>
        <v>0</v>
      </c>
      <c r="U21" s="95">
        <f>IF(ISBLANK(B20),0,IF(ISBLANK(F21),6,0))</f>
        <v>0</v>
      </c>
      <c r="V21" s="95">
        <f>IF(ISBLANK(B20),0,IF(ISBLANK(H21),7,0))</f>
        <v>0</v>
      </c>
      <c r="W21" s="95">
        <v>0</v>
      </c>
      <c r="X21" s="95">
        <v>0</v>
      </c>
      <c r="Y21" s="95">
        <f>IF(ISBLANK(B17),IF(ISBLANK(B20),0,1),0)</f>
        <v>0</v>
      </c>
      <c r="Z21" s="95">
        <v>0</v>
      </c>
      <c r="AA21" s="95">
        <v>0</v>
      </c>
      <c r="AB21" s="95">
        <v>0</v>
      </c>
      <c r="AC21" s="95">
        <v>0</v>
      </c>
      <c r="AD21" s="95">
        <v>0</v>
      </c>
      <c r="AE21" s="95"/>
      <c r="AF21" s="127">
        <f>IF(ISBLANK(B20),0,COUNTIF(AG20:AK22,"&gt;0"))</f>
        <v>0</v>
      </c>
      <c r="AG21" s="102">
        <f>IF(I20="個人メドレー",IF(J20&lt;&gt;100,12,0),0)</f>
        <v>0</v>
      </c>
      <c r="AH21" s="102">
        <f>IF(J20=25,IF(K20&lt;1000,14,0),0)</f>
        <v>0</v>
      </c>
      <c r="AI21" s="102">
        <f>IF(J20=50,IF(K20&lt;2000,15,0),0)</f>
        <v>0</v>
      </c>
      <c r="AJ21" s="102">
        <f>IF(J20=100,IF(K20&lt;4500,16,0),0)</f>
        <v>0</v>
      </c>
      <c r="AK21" s="101">
        <v>0</v>
      </c>
      <c r="AL21" s="102"/>
      <c r="AM21" s="134">
        <f>IF(ISBLANK(B20),0,IF(AF21=0,COUNTIF(AN20:AR22,"&gt;0"),COUNTIF(AN22:AP22,"&gt;0")))</f>
        <v>0</v>
      </c>
      <c r="AN21" s="144">
        <f>IF(M20="個人メドレー",IF(N20&lt;&gt;100,23,0),0)</f>
        <v>0</v>
      </c>
      <c r="AO21" s="144">
        <f>IF(N20=25,IF(O20&lt;1000,25,0),0)</f>
        <v>0</v>
      </c>
      <c r="AP21" s="144">
        <f>IF(N20=50,IF(O20&lt;2000,26,0),0)</f>
        <v>0</v>
      </c>
      <c r="AQ21" s="144">
        <f>IF(N20=100,IF(O20&lt;4500,27,0),0)</f>
        <v>0</v>
      </c>
      <c r="AR21" s="144">
        <v>0</v>
      </c>
      <c r="AS21" s="102"/>
      <c r="AT21" s="100"/>
      <c r="AU21" s="99"/>
      <c r="AV21" s="71"/>
      <c r="AW21" s="71"/>
      <c r="AX21" s="71"/>
      <c r="AY21" s="71" t="s">
        <v>57</v>
      </c>
      <c r="AZ21" s="71">
        <v>22</v>
      </c>
      <c r="BA21" s="71">
        <v>20</v>
      </c>
      <c r="BB21" s="71"/>
      <c r="BC21" s="71" t="s">
        <v>10</v>
      </c>
      <c r="BD21" s="71"/>
      <c r="BE21" s="71"/>
      <c r="BF21" s="71"/>
      <c r="BG21" s="78"/>
      <c r="BH21" s="91"/>
      <c r="BI21" s="82"/>
      <c r="BJ21" s="82"/>
      <c r="BK21" s="78"/>
      <c r="BL21" s="91"/>
      <c r="BV21">
        <v>20</v>
      </c>
      <c r="BW21" s="115" t="s">
        <v>192</v>
      </c>
      <c r="BX21" s="115"/>
      <c r="BY21" t="s">
        <v>208</v>
      </c>
    </row>
    <row r="22" spans="1:77" ht="15.75" customHeight="1" thickBot="1" x14ac:dyDescent="0.3">
      <c r="A22" s="276"/>
      <c r="B22" s="248"/>
      <c r="C22" s="249"/>
      <c r="D22" s="250"/>
      <c r="E22" s="251"/>
      <c r="F22" s="252"/>
      <c r="G22" s="253"/>
      <c r="H22" s="56"/>
      <c r="I22" s="271"/>
      <c r="J22" s="263"/>
      <c r="K22" s="266"/>
      <c r="L22" s="268"/>
      <c r="M22" s="271"/>
      <c r="N22" s="263"/>
      <c r="O22" s="266"/>
      <c r="P22" s="245"/>
      <c r="Q22" s="52"/>
      <c r="R22" s="53"/>
      <c r="S22" s="132">
        <f>COUNTIF(T20:AD22,"=0")</f>
        <v>31</v>
      </c>
      <c r="T22" s="102">
        <f>IF(COUNTIF(F21,"*区*")=0,IF(ISBLANK(B22),8,0),0)</f>
        <v>8</v>
      </c>
      <c r="U22" s="102">
        <f>IF(COUNTIF(F21,"*区*")=0,IF(ISBLANK(E22),9,0),0)</f>
        <v>9</v>
      </c>
      <c r="V22" s="102">
        <v>0</v>
      </c>
      <c r="W22" s="102">
        <v>0</v>
      </c>
      <c r="X22" s="102">
        <v>0</v>
      </c>
      <c r="Y22" s="102">
        <v>0</v>
      </c>
      <c r="Z22" s="95">
        <v>0</v>
      </c>
      <c r="AA22" s="95">
        <v>0</v>
      </c>
      <c r="AB22" s="95">
        <v>0</v>
      </c>
      <c r="AC22" s="95">
        <v>0</v>
      </c>
      <c r="AD22" s="95">
        <v>0</v>
      </c>
      <c r="AE22" s="95"/>
      <c r="AF22" s="127">
        <f>COUNTIF(AG20:AK22,"=0")</f>
        <v>11</v>
      </c>
      <c r="AG22" s="102">
        <v>0</v>
      </c>
      <c r="AH22" s="102">
        <v>0</v>
      </c>
      <c r="AI22" s="102">
        <v>0</v>
      </c>
      <c r="AJ22" s="102">
        <v>0</v>
      </c>
      <c r="AK22" s="101">
        <v>0</v>
      </c>
      <c r="AL22" s="102"/>
      <c r="AM22" s="134">
        <f>COUNTIF(AN20:AR22,"=0")</f>
        <v>14</v>
      </c>
      <c r="AN22" s="144">
        <f>IF(I20=M20,IF(J20=N20,29,0),0)</f>
        <v>29</v>
      </c>
      <c r="AO22" s="144">
        <f>IF(AF21=0,0,IF(ISBLANK(N20),0,20))</f>
        <v>0</v>
      </c>
      <c r="AP22" s="144">
        <f>IF(AF21=0,0,IF(ISBLANK(O20),0,20))</f>
        <v>0</v>
      </c>
      <c r="AQ22" s="144">
        <v>0</v>
      </c>
      <c r="AR22" s="144">
        <v>0</v>
      </c>
      <c r="AS22" s="102"/>
      <c r="AT22" s="100"/>
      <c r="AU22" s="99"/>
      <c r="AV22" s="71"/>
      <c r="AW22" s="71"/>
      <c r="AX22" s="71"/>
      <c r="AY22" s="71"/>
      <c r="AZ22" s="71">
        <v>23</v>
      </c>
      <c r="BA22" s="71">
        <v>20</v>
      </c>
      <c r="BB22" s="71"/>
      <c r="BC22" s="71"/>
      <c r="BD22" s="71"/>
      <c r="BE22" s="71"/>
      <c r="BF22" s="71"/>
      <c r="BG22" s="78"/>
      <c r="BH22" s="91"/>
      <c r="BI22" s="82"/>
      <c r="BJ22" s="82"/>
      <c r="BK22" s="78"/>
      <c r="BL22" s="91"/>
      <c r="BV22">
        <v>21</v>
      </c>
      <c r="BW22" s="123" t="s">
        <v>209</v>
      </c>
      <c r="BY22" t="s">
        <v>210</v>
      </c>
    </row>
    <row r="23" spans="1:77" ht="13.15" thickTop="1" x14ac:dyDescent="0.25">
      <c r="A23" s="211">
        <v>2</v>
      </c>
      <c r="B23" s="254"/>
      <c r="C23" s="254"/>
      <c r="D23" s="211" t="str">
        <f>PHONETIC(B23)&amp;" "&amp; PHONETIC(C23)</f>
        <v xml:space="preserve"> </v>
      </c>
      <c r="E23" s="43"/>
      <c r="F23" s="40"/>
      <c r="G23" s="37" t="str">
        <f>IF(ISBLANK(F23),"",IF(MONTH($AM$2)&gt;MONTH(F23),YEAR($AM$2)-YEAR(F23),IF(MONTH($AM$2)&lt;MONTH(F23),YEAR($AM$2)-YEAR(F23)-1,IF(DAY($AM$2)&gt;=DAY(F23),YEAR($AM$2)-YEAR(F23),YEAR($AM$2)-YEAR(F23)-1))))</f>
        <v/>
      </c>
      <c r="H23" s="42" t="str">
        <f>IF(S23&gt;0,VLOOKUP(S23,$BV$2:$BY$30,4),"-")</f>
        <v>-</v>
      </c>
      <c r="I23" s="256"/>
      <c r="J23" s="254"/>
      <c r="K23" s="235"/>
      <c r="L23" s="238" t="str">
        <f>IF(AF23&gt;0,VLOOKUP(AF23,$BV$2:$BY$30,4),"-")</f>
        <v>-</v>
      </c>
      <c r="M23" s="256"/>
      <c r="N23" s="254"/>
      <c r="O23" s="235"/>
      <c r="P23" s="238" t="str">
        <f>IF(AM23&gt;0,VLOOKUP(AM23,$BV$2:$BY$30,4),"-")</f>
        <v>-</v>
      </c>
      <c r="Q23" s="45"/>
      <c r="R23" s="45"/>
      <c r="S23" s="135">
        <f>IF(S24&gt;0,SMALL(T23:AD25,S25+1),0)</f>
        <v>0</v>
      </c>
      <c r="T23" s="94">
        <f>IF(ISBLANK(B23),0,IF(ISBLANK(E23),2,0))</f>
        <v>0</v>
      </c>
      <c r="U23" s="94">
        <f>IF(ISBLANK(B23),0,IF(ISBLANK(F23),3,0))</f>
        <v>0</v>
      </c>
      <c r="V23" s="94">
        <f>IF(ISBLANK(B23),0,IF(G23&lt;=17,4,0))</f>
        <v>0</v>
      </c>
      <c r="W23" s="94">
        <v>0</v>
      </c>
      <c r="X23" s="94">
        <v>0</v>
      </c>
      <c r="Y23" s="94">
        <v>0</v>
      </c>
      <c r="Z23" s="94">
        <v>0</v>
      </c>
      <c r="AA23" s="94">
        <v>0</v>
      </c>
      <c r="AB23" s="94">
        <v>0</v>
      </c>
      <c r="AC23" s="94">
        <v>0</v>
      </c>
      <c r="AD23" s="94">
        <v>0</v>
      </c>
      <c r="AE23" s="94"/>
      <c r="AF23" s="128">
        <f>IF(AF24&gt;0,SMALL(AG23:AK25,AF25+1),0)</f>
        <v>0</v>
      </c>
      <c r="AG23" s="98">
        <f>IF(ISBLANK(I23),10,0)</f>
        <v>10</v>
      </c>
      <c r="AH23" s="98">
        <f>IF(ISBLANK(J23),11,0)</f>
        <v>11</v>
      </c>
      <c r="AI23" s="98">
        <f>IF(ISBLANK(K23),13,0)</f>
        <v>13</v>
      </c>
      <c r="AJ23" s="98">
        <f>IF(ISNUMBER(K23),0,17)</f>
        <v>17</v>
      </c>
      <c r="AK23" s="97">
        <v>0</v>
      </c>
      <c r="AL23" s="98"/>
      <c r="AM23" s="138">
        <f>IF(AM24&gt;0,SMALL(AN23:AR25,AM25+1),0)</f>
        <v>0</v>
      </c>
      <c r="AN23" s="139">
        <f>IF(AF24=0,IF(ISBLANK(M23),IF(ISBLANK(N23),IF(ISBLANK(O23),0,21),21),0))</f>
        <v>0</v>
      </c>
      <c r="AO23" s="140">
        <f>IF(ISBLANK(M23),IF(ISBLANK(N23),0,22),IF(ISBLANK(N23),22,0))</f>
        <v>0</v>
      </c>
      <c r="AP23" s="140">
        <f>IF(ISBLANK(M23),0,IF(ISBLANK(O23),24,0))</f>
        <v>0</v>
      </c>
      <c r="AQ23" s="140">
        <f>IF(ISBLANK(O23),0,IF(ISNUMBER(O23),0,28))</f>
        <v>0</v>
      </c>
      <c r="AR23" s="140">
        <v>0</v>
      </c>
      <c r="AS23" s="98"/>
      <c r="AT23" s="96" t="e">
        <f>VLOOKUP(G23,$AZ$17:$BA$138,2)</f>
        <v>#N/A</v>
      </c>
      <c r="AU23" s="99"/>
      <c r="AV23" s="71"/>
      <c r="AW23" s="71"/>
      <c r="AX23" s="71"/>
      <c r="AY23" s="71"/>
      <c r="AZ23" s="71">
        <v>24</v>
      </c>
      <c r="BA23" s="71">
        <v>20</v>
      </c>
      <c r="BB23" s="71"/>
      <c r="BC23" s="71"/>
      <c r="BD23" s="71"/>
      <c r="BE23" s="71"/>
      <c r="BF23" s="71">
        <f>IF(E23="男",100,IF(E23="女",200,0))</f>
        <v>0</v>
      </c>
      <c r="BG23" s="78">
        <f>IF(I23="自由形",10,IF(I23="平泳ぎ",20,IF(I23="背泳ぎ",30,IF(I23="バタフライ",40,IF(I23="個人メドレー",50,0)))))</f>
        <v>0</v>
      </c>
      <c r="BH23" s="91">
        <f>IF(J23=25,1,IF(J23=50,2,IF(J23=100,3,0)))</f>
        <v>0</v>
      </c>
      <c r="BI23" s="82">
        <f>IF(M23="自由形",10,IF(M23="平泳ぎ",20,IF(M23="背泳ぎ",30,IF(M23="バタフライ",40,IF(M23="個人メドレー",50,0)))))</f>
        <v>0</v>
      </c>
      <c r="BJ23" s="82">
        <f>IF(N23=25,1,IF(N23=50,2,IF(N23=100,3,0)))</f>
        <v>0</v>
      </c>
      <c r="BK23" s="78">
        <f>BF23+BG23+BH23</f>
        <v>0</v>
      </c>
      <c r="BL23" s="91">
        <f>BF23+BI23+BJ23</f>
        <v>0</v>
      </c>
      <c r="BV23">
        <v>22</v>
      </c>
      <c r="BW23" s="115" t="s">
        <v>194</v>
      </c>
      <c r="BX23" s="115"/>
      <c r="BY23" t="s">
        <v>195</v>
      </c>
    </row>
    <row r="24" spans="1:77" x14ac:dyDescent="0.25">
      <c r="A24" s="212"/>
      <c r="B24" s="255"/>
      <c r="C24" s="279"/>
      <c r="D24" s="216"/>
      <c r="E24" s="44"/>
      <c r="F24" s="241"/>
      <c r="G24" s="242"/>
      <c r="H24" s="39"/>
      <c r="I24" s="257"/>
      <c r="J24" s="259"/>
      <c r="K24" s="236"/>
      <c r="L24" s="239"/>
      <c r="M24" s="257"/>
      <c r="N24" s="259"/>
      <c r="O24" s="236"/>
      <c r="P24" s="239"/>
      <c r="Q24" s="45"/>
      <c r="R24" s="45"/>
      <c r="S24" s="135">
        <f>IF(ISBLANK(B23),0,COUNTIF(T23:AD25,"&gt;0"))</f>
        <v>0</v>
      </c>
      <c r="T24" s="94">
        <f>IF(ISBLANK(B23),0,IF(ISBLANK(E24),5,0))</f>
        <v>0</v>
      </c>
      <c r="U24" s="94">
        <f>IF(ISBLANK(B23),0,IF(ISBLANK(F24),6,0))</f>
        <v>0</v>
      </c>
      <c r="V24" s="94">
        <f>IF(ISBLANK(B23),0,IF(ISBLANK(H24),7,0))</f>
        <v>0</v>
      </c>
      <c r="W24" s="94">
        <v>0</v>
      </c>
      <c r="X24" s="94">
        <v>0</v>
      </c>
      <c r="Y24" s="94">
        <f>IF(ISBLANK(B20),IF(ISBLANK(B23),0,1),0)</f>
        <v>0</v>
      </c>
      <c r="Z24" s="94">
        <v>0</v>
      </c>
      <c r="AA24" s="94">
        <v>0</v>
      </c>
      <c r="AB24" s="94">
        <v>0</v>
      </c>
      <c r="AC24" s="94">
        <v>0</v>
      </c>
      <c r="AD24" s="94">
        <v>0</v>
      </c>
      <c r="AE24" s="94"/>
      <c r="AF24" s="128">
        <f>IF(ISBLANK(B23),0,COUNTIF(AG23:AK25,"&gt;0"))</f>
        <v>0</v>
      </c>
      <c r="AG24" s="98">
        <f>IF(I23="個人メドレー",IF(J23&lt;&gt;100,12,0),0)</f>
        <v>0</v>
      </c>
      <c r="AH24" s="98">
        <f>IF(J23=25,IF(K23&lt;1000,14,0),0)</f>
        <v>0</v>
      </c>
      <c r="AI24" s="98">
        <f>IF(J23=50,IF(K23&lt;2000,15,0),0)</f>
        <v>0</v>
      </c>
      <c r="AJ24" s="98">
        <f>IF(J23=100,IF(K23&lt;4500,16,0),0)</f>
        <v>0</v>
      </c>
      <c r="AK24" s="97">
        <v>0</v>
      </c>
      <c r="AL24" s="98"/>
      <c r="AM24" s="138">
        <f>IF(ISBLANK(B23),0,IF(AF24=0,COUNTIF(AN23:AR25,"&gt;0"),COUNTIF(AN25:AP25,"&gt;0")))</f>
        <v>0</v>
      </c>
      <c r="AN24" s="140">
        <f>IF(M23="個人メドレー",IF(N23&lt;&gt;100,23,0),0)</f>
        <v>0</v>
      </c>
      <c r="AO24" s="140">
        <f>IF(N23=25,IF(O23&lt;1000,25,0),0)</f>
        <v>0</v>
      </c>
      <c r="AP24" s="140">
        <f>IF(N23=50,IF(O23&lt;2000,26,0),0)</f>
        <v>0</v>
      </c>
      <c r="AQ24" s="140">
        <f>IF(N23=100,IF(O23&lt;4500,27,0),0)</f>
        <v>0</v>
      </c>
      <c r="AR24" s="140">
        <v>0</v>
      </c>
      <c r="AS24" s="98"/>
      <c r="AT24" s="96"/>
      <c r="AU24" s="99"/>
      <c r="AV24" s="71"/>
      <c r="AW24" s="71"/>
      <c r="AX24" s="71"/>
      <c r="AY24" s="71"/>
      <c r="AZ24" s="71">
        <v>25</v>
      </c>
      <c r="BA24" s="71">
        <v>20</v>
      </c>
      <c r="BB24" s="71"/>
      <c r="BC24" s="71"/>
      <c r="BD24" s="71"/>
      <c r="BE24" s="71"/>
      <c r="BF24" s="71"/>
      <c r="BG24" s="78"/>
      <c r="BH24" s="91"/>
      <c r="BI24" s="82"/>
      <c r="BJ24" s="82"/>
      <c r="BK24" s="78"/>
      <c r="BL24" s="91"/>
      <c r="BV24">
        <v>23</v>
      </c>
      <c r="BW24" s="123" t="s">
        <v>203</v>
      </c>
      <c r="BX24" s="115"/>
      <c r="BY24" t="s">
        <v>204</v>
      </c>
    </row>
    <row r="25" spans="1:77" ht="13.15" thickBot="1" x14ac:dyDescent="0.3">
      <c r="A25" s="213"/>
      <c r="B25" s="280"/>
      <c r="C25" s="281"/>
      <c r="D25" s="282"/>
      <c r="E25" s="283"/>
      <c r="F25" s="284"/>
      <c r="G25" s="285"/>
      <c r="H25" s="41"/>
      <c r="I25" s="258"/>
      <c r="J25" s="260"/>
      <c r="K25" s="237"/>
      <c r="L25" s="240"/>
      <c r="M25" s="258"/>
      <c r="N25" s="260"/>
      <c r="O25" s="237"/>
      <c r="P25" s="240"/>
      <c r="Q25" s="46"/>
      <c r="R25" s="47"/>
      <c r="S25" s="136">
        <f>COUNTIF(T23:AD25,"=0")</f>
        <v>31</v>
      </c>
      <c r="T25" s="98">
        <f>IF(COUNTIF(F24,"*区*")=0,IF(ISBLANK(B25),8,0),0)</f>
        <v>8</v>
      </c>
      <c r="U25" s="98">
        <f>IF(COUNTIF(F24,"*区*")=0,IF(ISBLANK(E25),9,0),0)</f>
        <v>9</v>
      </c>
      <c r="V25" s="98">
        <v>0</v>
      </c>
      <c r="W25" s="98">
        <v>0</v>
      </c>
      <c r="X25" s="98">
        <v>0</v>
      </c>
      <c r="Y25" s="98">
        <v>0</v>
      </c>
      <c r="Z25" s="94">
        <v>0</v>
      </c>
      <c r="AA25" s="94">
        <v>0</v>
      </c>
      <c r="AB25" s="94">
        <v>0</v>
      </c>
      <c r="AC25" s="94">
        <v>0</v>
      </c>
      <c r="AD25" s="94">
        <v>0</v>
      </c>
      <c r="AE25" s="94"/>
      <c r="AF25" s="128">
        <f>COUNTIF(AG23:AK25,"=0")</f>
        <v>11</v>
      </c>
      <c r="AG25" s="98">
        <v>0</v>
      </c>
      <c r="AH25" s="98">
        <v>0</v>
      </c>
      <c r="AI25" s="98">
        <v>0</v>
      </c>
      <c r="AJ25" s="98">
        <v>0</v>
      </c>
      <c r="AK25" s="97">
        <v>0</v>
      </c>
      <c r="AL25" s="98"/>
      <c r="AM25" s="138">
        <f>COUNTIF(AN23:AR25,"=0")</f>
        <v>14</v>
      </c>
      <c r="AN25" s="140">
        <f>IF(I23=M23,IF(J23=N23,29,0),0)</f>
        <v>29</v>
      </c>
      <c r="AO25" s="140">
        <f>IF(AF24=0,0,IF(ISBLANK(N23),0,20))</f>
        <v>0</v>
      </c>
      <c r="AP25" s="140">
        <f>IF(AF24=0,0,IF(ISBLANK(O23),0,20))</f>
        <v>0</v>
      </c>
      <c r="AQ25" s="140">
        <v>0</v>
      </c>
      <c r="AR25" s="140">
        <v>0</v>
      </c>
      <c r="AS25" s="98"/>
      <c r="AT25" s="96"/>
      <c r="AU25" s="99"/>
      <c r="AV25" s="71"/>
      <c r="AW25" s="71"/>
      <c r="AX25" s="71"/>
      <c r="AY25" s="71"/>
      <c r="AZ25" s="71">
        <v>26</v>
      </c>
      <c r="BA25" s="71">
        <v>20</v>
      </c>
      <c r="BB25" s="71"/>
      <c r="BC25" s="71"/>
      <c r="BD25" s="71"/>
      <c r="BE25" s="71"/>
      <c r="BF25" s="71"/>
      <c r="BG25" s="78"/>
      <c r="BH25" s="91"/>
      <c r="BI25" s="82"/>
      <c r="BJ25" s="82"/>
      <c r="BK25" s="78"/>
      <c r="BL25" s="91"/>
      <c r="BV25">
        <v>24</v>
      </c>
      <c r="BW25" s="115" t="s">
        <v>32</v>
      </c>
      <c r="BX25" s="115"/>
      <c r="BY25" t="s">
        <v>197</v>
      </c>
    </row>
    <row r="26" spans="1:77" ht="13.15" thickTop="1" x14ac:dyDescent="0.25">
      <c r="A26" s="274">
        <v>3</v>
      </c>
      <c r="B26" s="261"/>
      <c r="C26" s="261"/>
      <c r="D26" s="274" t="str">
        <f>PHONETIC(B26)&amp;" "&amp; PHONETIC(C26)</f>
        <v xml:space="preserve"> </v>
      </c>
      <c r="E26" s="48"/>
      <c r="F26" s="49"/>
      <c r="G26" s="38" t="str">
        <f>IF(ISBLANK(F26),"",IF(MONTH($AM$2)&gt;MONTH(F26),YEAR($AM$2)-YEAR(F26),IF(MONTH($AM$2)&lt;MONTH(F26),YEAR($AM$2)-YEAR(F26)-1,IF(DAY($AM$2)&gt;=DAY(F26),YEAR($AM$2)-YEAR(F26),YEAR($AM$2)-YEAR(F26)-1))))</f>
        <v/>
      </c>
      <c r="H26" s="50" t="str">
        <f>IF(S26&gt;0,VLOOKUP(S26,$BV$2:$BY$30,4),"-")</f>
        <v>-</v>
      </c>
      <c r="I26" s="269"/>
      <c r="J26" s="261"/>
      <c r="K26" s="264"/>
      <c r="L26" s="243" t="str">
        <f>IF(AF26&gt;0,VLOOKUP(AF26,$BV$2:$BY$30,4),"-")</f>
        <v>-</v>
      </c>
      <c r="M26" s="269"/>
      <c r="N26" s="261"/>
      <c r="O26" s="264"/>
      <c r="P26" s="243" t="str">
        <f>IF(AM26&gt;0,VLOOKUP(AM26,$BV$2:$BY$30,4),"-")</f>
        <v>-</v>
      </c>
      <c r="Q26" s="51"/>
      <c r="R26" s="51"/>
      <c r="S26" s="137">
        <f>IF(S27&gt;0,SMALL(T26:AD28,S28+1),0)</f>
        <v>0</v>
      </c>
      <c r="T26" s="95">
        <f>IF(ISBLANK(B26),0,IF(ISBLANK(E26),2,0))</f>
        <v>0</v>
      </c>
      <c r="U26" s="95">
        <f>IF(ISBLANK(B26),0,IF(ISBLANK(F26),3,0))</f>
        <v>0</v>
      </c>
      <c r="V26" s="95">
        <f>IF(ISBLANK(B26),0,IF(G26&lt;=17,4,0))</f>
        <v>0</v>
      </c>
      <c r="W26" s="95">
        <v>0</v>
      </c>
      <c r="X26" s="95">
        <v>0</v>
      </c>
      <c r="Y26" s="94">
        <v>0</v>
      </c>
      <c r="Z26" s="95">
        <v>0</v>
      </c>
      <c r="AA26" s="95">
        <v>0</v>
      </c>
      <c r="AB26" s="95">
        <v>0</v>
      </c>
      <c r="AC26" s="95">
        <v>0</v>
      </c>
      <c r="AD26" s="95">
        <v>0</v>
      </c>
      <c r="AE26" s="95"/>
      <c r="AF26" s="127">
        <f>IF(AF27&gt;0,SMALL(AG26:AK28,AF28+1),0)</f>
        <v>0</v>
      </c>
      <c r="AG26" s="102">
        <f>IF(ISBLANK(I26),10,0)</f>
        <v>10</v>
      </c>
      <c r="AH26" s="102">
        <f>IF(ISBLANK(J26),11,0)</f>
        <v>11</v>
      </c>
      <c r="AI26" s="102">
        <f>IF(ISBLANK(K26),13,0)</f>
        <v>13</v>
      </c>
      <c r="AJ26" s="102">
        <f>IF(ISNUMBER(K26),0,17)</f>
        <v>17</v>
      </c>
      <c r="AK26" s="101">
        <v>0</v>
      </c>
      <c r="AL26" s="102"/>
      <c r="AM26" s="141">
        <f>IF(AM27&gt;0,SMALL(AN26:AR28,AM28+1),0)</f>
        <v>0</v>
      </c>
      <c r="AN26" s="142">
        <f>IF(AF27=0,IF(ISBLANK(M26),IF(ISBLANK(N26),IF(ISBLANK(O26),0,21),21),0))</f>
        <v>0</v>
      </c>
      <c r="AO26" s="142">
        <f>IF(ISBLANK(M26),IF(ISBLANK(N26),0,22),IF(ISBLANK(N26),22,0))</f>
        <v>0</v>
      </c>
      <c r="AP26" s="142">
        <f>IF(ISBLANK(M26),0,IF(ISBLANK(O26),24,0))</f>
        <v>0</v>
      </c>
      <c r="AQ26" s="142">
        <f>IF(ISBLANK(O26),0,IF(ISNUMBER(O26),0,28))</f>
        <v>0</v>
      </c>
      <c r="AR26" s="142">
        <v>0</v>
      </c>
      <c r="AS26" s="102"/>
      <c r="AT26" s="100" t="e">
        <f>VLOOKUP(G26,$AZ$17:$BA$138,2)</f>
        <v>#N/A</v>
      </c>
      <c r="AU26" s="99"/>
      <c r="AV26" s="71"/>
      <c r="AW26" s="71"/>
      <c r="AX26" s="71"/>
      <c r="AY26" s="71"/>
      <c r="AZ26" s="71">
        <v>27</v>
      </c>
      <c r="BA26" s="71">
        <v>20</v>
      </c>
      <c r="BB26" s="71"/>
      <c r="BC26" s="71"/>
      <c r="BD26" s="71"/>
      <c r="BE26" s="71"/>
      <c r="BF26" s="71">
        <f>IF(E26="男",100,IF(E26="女",200,0))</f>
        <v>0</v>
      </c>
      <c r="BG26" s="78">
        <f>IF(I26="自由形",10,IF(I26="平泳ぎ",20,IF(I26="背泳ぎ",30,IF(I26="バタフライ",40,IF(I26="個人メドレー",50,0)))))</f>
        <v>0</v>
      </c>
      <c r="BH26" s="91">
        <f>IF(J26=25,1,IF(J26=50,2,IF(J26=100,3,0)))</f>
        <v>0</v>
      </c>
      <c r="BI26" s="82">
        <f>IF(M26="自由形",10,IF(M26="平泳ぎ",20,IF(M26="背泳ぎ",30,IF(M26="バタフライ",40,IF(M26="個人メドレー",50,0)))))</f>
        <v>0</v>
      </c>
      <c r="BJ26" s="82">
        <f>IF(N26=25,1,IF(N26=50,2,IF(N26=100,3,0)))</f>
        <v>0</v>
      </c>
      <c r="BK26" s="78">
        <f>BF26+BG26+BH26</f>
        <v>0</v>
      </c>
      <c r="BL26" s="91">
        <f>BF26+BI26+BJ26</f>
        <v>0</v>
      </c>
      <c r="BV26">
        <v>25</v>
      </c>
      <c r="BW26" s="115" t="s">
        <v>154</v>
      </c>
      <c r="BX26" s="115"/>
      <c r="BY26" t="s">
        <v>200</v>
      </c>
    </row>
    <row r="27" spans="1:77" x14ac:dyDescent="0.25">
      <c r="A27" s="275"/>
      <c r="B27" s="277"/>
      <c r="C27" s="279"/>
      <c r="D27" s="278"/>
      <c r="E27" s="133"/>
      <c r="F27" s="246"/>
      <c r="G27" s="247"/>
      <c r="H27" s="55"/>
      <c r="I27" s="270"/>
      <c r="J27" s="262"/>
      <c r="K27" s="265"/>
      <c r="L27" s="244"/>
      <c r="M27" s="270"/>
      <c r="N27" s="262"/>
      <c r="O27" s="265"/>
      <c r="P27" s="244"/>
      <c r="Q27" s="51"/>
      <c r="R27" s="51"/>
      <c r="S27" s="137">
        <f>IF(ISBLANK(B26),0,COUNTIF(T26:AD28,"&gt;0"))</f>
        <v>0</v>
      </c>
      <c r="T27" s="95">
        <f>IF(ISBLANK(B26),0,IF(ISBLANK(E27),5,0))</f>
        <v>0</v>
      </c>
      <c r="U27" s="95">
        <f>IF(ISBLANK(B26),0,IF(ISBLANK(F27),6,0))</f>
        <v>0</v>
      </c>
      <c r="V27" s="95">
        <f>IF(ISBLANK(B26),0,IF(ISBLANK(H27),7,0))</f>
        <v>0</v>
      </c>
      <c r="W27" s="94">
        <v>0</v>
      </c>
      <c r="X27" s="95">
        <v>0</v>
      </c>
      <c r="Y27" s="95">
        <f>IF(ISBLANK(B23),IF(ISBLANK(B26),0,1),0)</f>
        <v>0</v>
      </c>
      <c r="Z27" s="95">
        <v>0</v>
      </c>
      <c r="AA27" s="95">
        <v>0</v>
      </c>
      <c r="AB27" s="95">
        <v>0</v>
      </c>
      <c r="AC27" s="95">
        <v>0</v>
      </c>
      <c r="AD27" s="95">
        <v>0</v>
      </c>
      <c r="AE27" s="95"/>
      <c r="AF27" s="127">
        <f>IF(ISBLANK(B26),0,COUNTIF(AG26:AK28,"&gt;0"))</f>
        <v>0</v>
      </c>
      <c r="AG27" s="102">
        <f>IF(I26="個人メドレー",IF(J26&lt;&gt;100,12,0),0)</f>
        <v>0</v>
      </c>
      <c r="AH27" s="102">
        <f>IF(J26=25,IF(K26&lt;1000,14,0),0)</f>
        <v>0</v>
      </c>
      <c r="AI27" s="102">
        <f>IF(J26=50,IF(K26&lt;2000,15,0),0)</f>
        <v>0</v>
      </c>
      <c r="AJ27" s="102">
        <f>IF(J26=100,IF(K26&lt;4500,16,0),0)</f>
        <v>0</v>
      </c>
      <c r="AK27" s="101">
        <v>0</v>
      </c>
      <c r="AL27" s="102"/>
      <c r="AM27" s="141">
        <f>IF(ISBLANK(B26),0,IF(AF27=0,COUNTIF(AN26:AR28,"&gt;0"),COUNTIF(AN28:AP28,"&gt;0")))</f>
        <v>0</v>
      </c>
      <c r="AN27" s="142">
        <f>IF(M26="個人メドレー",IF(N26&lt;&gt;100,23,0),0)</f>
        <v>0</v>
      </c>
      <c r="AO27" s="142">
        <f>IF(N26=25,IF(O26&lt;1000,25,0),0)</f>
        <v>0</v>
      </c>
      <c r="AP27" s="142">
        <f>IF(N26=50,IF(O26&lt;2000,26,0),0)</f>
        <v>0</v>
      </c>
      <c r="AQ27" s="142">
        <f>IF(N26=100,IF(O26&lt;4500,27,0),0)</f>
        <v>0</v>
      </c>
      <c r="AR27" s="142">
        <v>0</v>
      </c>
      <c r="AS27" s="102"/>
      <c r="AT27" s="100"/>
      <c r="AU27" s="99"/>
      <c r="AV27" s="71"/>
      <c r="AW27" s="71"/>
      <c r="AX27" s="71"/>
      <c r="AY27" s="71"/>
      <c r="AZ27" s="71">
        <v>28</v>
      </c>
      <c r="BA27" s="71">
        <v>20</v>
      </c>
      <c r="BB27" s="71"/>
      <c r="BC27" s="71"/>
      <c r="BD27" s="71"/>
      <c r="BE27" s="71"/>
      <c r="BF27" s="71"/>
      <c r="BG27" s="78"/>
      <c r="BH27" s="91"/>
      <c r="BI27" s="82"/>
      <c r="BJ27" s="82"/>
      <c r="BK27" s="78"/>
      <c r="BL27" s="91"/>
      <c r="BV27">
        <v>26</v>
      </c>
      <c r="BW27" s="115" t="s">
        <v>155</v>
      </c>
      <c r="BX27" s="115"/>
      <c r="BY27" t="s">
        <v>201</v>
      </c>
    </row>
    <row r="28" spans="1:77" ht="13.15" thickBot="1" x14ac:dyDescent="0.3">
      <c r="A28" s="276"/>
      <c r="B28" s="248"/>
      <c r="C28" s="249"/>
      <c r="D28" s="250"/>
      <c r="E28" s="251"/>
      <c r="F28" s="252"/>
      <c r="G28" s="253"/>
      <c r="H28" s="56"/>
      <c r="I28" s="271"/>
      <c r="J28" s="263"/>
      <c r="K28" s="266"/>
      <c r="L28" s="245"/>
      <c r="M28" s="271"/>
      <c r="N28" s="263"/>
      <c r="O28" s="266"/>
      <c r="P28" s="245"/>
      <c r="Q28" s="52"/>
      <c r="R28" s="53"/>
      <c r="S28" s="132">
        <f>COUNTIF(T26:AD28,"=0")</f>
        <v>31</v>
      </c>
      <c r="T28" s="102">
        <f>IF(COUNTIF(F27,"*区*")=0,IF(ISBLANK(B28),8,0),0)</f>
        <v>8</v>
      </c>
      <c r="U28" s="102">
        <f>IF(COUNTIF(F27,"*区*")=0,IF(ISBLANK(E28),9,0),0)</f>
        <v>9</v>
      </c>
      <c r="V28" s="102">
        <v>0</v>
      </c>
      <c r="W28" s="102">
        <v>0</v>
      </c>
      <c r="X28" s="102">
        <v>0</v>
      </c>
      <c r="Y28" s="102">
        <v>0</v>
      </c>
      <c r="Z28" s="95">
        <v>0</v>
      </c>
      <c r="AA28" s="95">
        <v>0</v>
      </c>
      <c r="AB28" s="95">
        <v>0</v>
      </c>
      <c r="AC28" s="95">
        <v>0</v>
      </c>
      <c r="AD28" s="95">
        <v>0</v>
      </c>
      <c r="AE28" s="95"/>
      <c r="AF28" s="127">
        <f>COUNTIF(AG26:AK28,"=0")</f>
        <v>11</v>
      </c>
      <c r="AG28" s="102">
        <v>0</v>
      </c>
      <c r="AH28" s="102">
        <v>0</v>
      </c>
      <c r="AI28" s="102">
        <v>0</v>
      </c>
      <c r="AJ28" s="102">
        <v>0</v>
      </c>
      <c r="AK28" s="101">
        <v>0</v>
      </c>
      <c r="AL28" s="102"/>
      <c r="AM28" s="141">
        <f>COUNTIF(AN26:AR28,"=0")</f>
        <v>14</v>
      </c>
      <c r="AN28" s="142">
        <f>IF(I26=M26,IF(J26=N26,29,0),0)</f>
        <v>29</v>
      </c>
      <c r="AO28" s="142">
        <f>IF(AF27=0,0,IF(ISBLANK(N26),0,20))</f>
        <v>0</v>
      </c>
      <c r="AP28" s="142">
        <f>IF(AF27=0,0,IF(ISBLANK(O26),0,20))</f>
        <v>0</v>
      </c>
      <c r="AQ28" s="142">
        <v>0</v>
      </c>
      <c r="AR28" s="142">
        <v>0</v>
      </c>
      <c r="AS28" s="102"/>
      <c r="AT28" s="100"/>
      <c r="AU28" s="99"/>
      <c r="AV28" s="71"/>
      <c r="AW28" s="71"/>
      <c r="AX28" s="71"/>
      <c r="AY28" s="71"/>
      <c r="AZ28" s="71">
        <v>29</v>
      </c>
      <c r="BA28" s="71">
        <v>20</v>
      </c>
      <c r="BB28" s="71"/>
      <c r="BC28" s="71"/>
      <c r="BD28" s="71"/>
      <c r="BE28" s="71"/>
      <c r="BF28" s="71"/>
      <c r="BG28" s="78"/>
      <c r="BH28" s="91"/>
      <c r="BI28" s="82"/>
      <c r="BJ28" s="82"/>
      <c r="BK28" s="78"/>
      <c r="BL28" s="91"/>
      <c r="BV28">
        <v>27</v>
      </c>
      <c r="BW28" s="115" t="s">
        <v>156</v>
      </c>
      <c r="BX28" s="115"/>
      <c r="BY28" t="s">
        <v>202</v>
      </c>
    </row>
    <row r="29" spans="1:77" ht="13.15" thickTop="1" x14ac:dyDescent="0.25">
      <c r="A29" s="211">
        <v>4</v>
      </c>
      <c r="B29" s="254"/>
      <c r="C29" s="254"/>
      <c r="D29" s="211" t="str">
        <f>PHONETIC(B29)&amp;" "&amp; PHONETIC(C29)</f>
        <v xml:space="preserve"> </v>
      </c>
      <c r="E29" s="43"/>
      <c r="F29" s="40"/>
      <c r="G29" s="37" t="str">
        <f>IF(ISBLANK(F29),"",IF(MONTH($AM$2)&gt;MONTH(F29),YEAR($AM$2)-YEAR(F29),IF(MONTH($AM$2)&lt;MONTH(F29),YEAR($AM$2)-YEAR(F29)-1,IF(DAY($AM$2)&gt;=DAY(F29),YEAR($AM$2)-YEAR(F29),YEAR($AM$2)-YEAR(F29)-1))))</f>
        <v/>
      </c>
      <c r="H29" s="42" t="str">
        <f>IF(S29&gt;0,VLOOKUP(S29,$BV$2:$BY$30,4),"-")</f>
        <v>-</v>
      </c>
      <c r="I29" s="256"/>
      <c r="J29" s="254"/>
      <c r="K29" s="235"/>
      <c r="L29" s="238" t="str">
        <f>IF(AF29&gt;0,VLOOKUP(AF29,$BV$2:$BY$30,4),"-")</f>
        <v>-</v>
      </c>
      <c r="M29" s="256"/>
      <c r="N29" s="254"/>
      <c r="O29" s="235"/>
      <c r="P29" s="238" t="str">
        <f>IF(AM29&gt;0,VLOOKUP(AM29,$BV$2:$BY$30,4),"-")</f>
        <v>-</v>
      </c>
      <c r="Q29" s="45"/>
      <c r="R29" s="45"/>
      <c r="S29" s="135">
        <f>IF(S30&gt;0,SMALL(T29:AD31,S31+1),0)</f>
        <v>0</v>
      </c>
      <c r="T29" s="94">
        <f>IF(ISBLANK(B29),0,IF(ISBLANK(E29),2,0))</f>
        <v>0</v>
      </c>
      <c r="U29" s="94">
        <f>IF(ISBLANK(B29),0,IF(ISBLANK(F29),3,0))</f>
        <v>0</v>
      </c>
      <c r="V29" s="94">
        <f>IF(ISBLANK(B29),0,IF(G29&lt;=17,4,0))</f>
        <v>0</v>
      </c>
      <c r="W29" s="94">
        <v>0</v>
      </c>
      <c r="X29" s="94">
        <v>0</v>
      </c>
      <c r="Y29" s="94">
        <v>0</v>
      </c>
      <c r="Z29" s="94">
        <v>0</v>
      </c>
      <c r="AA29" s="94">
        <v>0</v>
      </c>
      <c r="AB29" s="94">
        <v>0</v>
      </c>
      <c r="AC29" s="94">
        <v>0</v>
      </c>
      <c r="AD29" s="94">
        <v>0</v>
      </c>
      <c r="AE29" s="94"/>
      <c r="AF29" s="128">
        <f>IF(AF30&gt;0,SMALL(AG29:AK31,AF31+1),0)</f>
        <v>0</v>
      </c>
      <c r="AG29" s="98">
        <f>IF(ISBLANK(I29),10,0)</f>
        <v>10</v>
      </c>
      <c r="AH29" s="98">
        <f>IF(ISBLANK(J29),11,0)</f>
        <v>11</v>
      </c>
      <c r="AI29" s="98">
        <f>IF(ISBLANK(K29),13,0)</f>
        <v>13</v>
      </c>
      <c r="AJ29" s="98">
        <f>IF(ISNUMBER(K29),0,17)</f>
        <v>17</v>
      </c>
      <c r="AK29" s="97">
        <v>0</v>
      </c>
      <c r="AL29" s="98"/>
      <c r="AM29" s="138">
        <f>IF(AM30&gt;0,SMALL(AN29:AR31,AM31+1),0)</f>
        <v>0</v>
      </c>
      <c r="AN29" s="140">
        <f>IF(AF30=0,IF(ISBLANK(M29),IF(ISBLANK(N29),IF(ISBLANK(O29),0,21),21),0))</f>
        <v>0</v>
      </c>
      <c r="AO29" s="140">
        <f>IF(ISBLANK(M29),IF(ISBLANK(N29),0,22),IF(ISBLANK(N29),22,0))</f>
        <v>0</v>
      </c>
      <c r="AP29" s="140">
        <f>IF(ISBLANK(M29),0,IF(ISBLANK(O29),24,0))</f>
        <v>0</v>
      </c>
      <c r="AQ29" s="140">
        <f>IF(ISBLANK(O29),0,IF(ISNUMBER(O29),0,28))</f>
        <v>0</v>
      </c>
      <c r="AR29" s="140">
        <v>0</v>
      </c>
      <c r="AS29" s="98"/>
      <c r="AT29" s="96" t="e">
        <f>VLOOKUP(G29,$AZ$17:$BA$138,2)</f>
        <v>#N/A</v>
      </c>
      <c r="AU29" s="99"/>
      <c r="AV29" s="71"/>
      <c r="AW29" s="71"/>
      <c r="AX29" s="71"/>
      <c r="AY29" s="71"/>
      <c r="AZ29" s="71">
        <v>30</v>
      </c>
      <c r="BA29" s="71">
        <v>30</v>
      </c>
      <c r="BB29" s="71"/>
      <c r="BC29" s="71"/>
      <c r="BD29" s="71"/>
      <c r="BE29" s="71"/>
      <c r="BF29" s="71">
        <f>IF(E29="男",100,IF(E29="女",200,0))</f>
        <v>0</v>
      </c>
      <c r="BG29" s="78">
        <f>IF(I29="自由形",10,IF(I29="平泳ぎ",20,IF(I29="背泳ぎ",30,IF(I29="バタフライ",40,IF(I29="個人メドレー",50,0)))))</f>
        <v>0</v>
      </c>
      <c r="BH29" s="91">
        <f>IF(J29=25,1,IF(J29=50,2,IF(J29=100,3,0)))</f>
        <v>0</v>
      </c>
      <c r="BI29" s="82">
        <f>IF(M29="自由形",10,IF(M29="平泳ぎ",20,IF(M29="背泳ぎ",30,IF(M29="バタフライ",40,IF(M29="個人メドレー",50,0)))))</f>
        <v>0</v>
      </c>
      <c r="BJ29" s="82">
        <f>IF(N29=25,1,IF(N29=50,2,IF(N29=100,3,0)))</f>
        <v>0</v>
      </c>
      <c r="BK29" s="78">
        <f>BF29+BG29+BH29</f>
        <v>0</v>
      </c>
      <c r="BL29" s="91">
        <f>BF29+BI29+BJ29</f>
        <v>0</v>
      </c>
      <c r="BV29">
        <v>28</v>
      </c>
      <c r="BW29" s="123" t="s">
        <v>206</v>
      </c>
      <c r="BX29" s="116"/>
      <c r="BY29" t="s">
        <v>207</v>
      </c>
    </row>
    <row r="30" spans="1:77" x14ac:dyDescent="0.25">
      <c r="A30" s="212"/>
      <c r="B30" s="255"/>
      <c r="C30" s="279"/>
      <c r="D30" s="216"/>
      <c r="E30" s="44"/>
      <c r="F30" s="286"/>
      <c r="G30" s="242"/>
      <c r="H30" s="39"/>
      <c r="I30" s="257"/>
      <c r="J30" s="259"/>
      <c r="K30" s="236"/>
      <c r="L30" s="239"/>
      <c r="M30" s="257"/>
      <c r="N30" s="259"/>
      <c r="O30" s="236"/>
      <c r="P30" s="239"/>
      <c r="Q30" s="45"/>
      <c r="R30" s="45"/>
      <c r="S30" s="135">
        <f>IF(ISBLANK(B29),0,COUNTIF(T29:AD31,"&gt;0"))</f>
        <v>0</v>
      </c>
      <c r="T30" s="94">
        <f>IF(ISBLANK(B29),0,IF(ISBLANK(E30),5,0))</f>
        <v>0</v>
      </c>
      <c r="U30" s="94">
        <f>IF(ISBLANK(B29),0,IF(ISBLANK(F30),6,0))</f>
        <v>0</v>
      </c>
      <c r="V30" s="94">
        <f>IF(ISBLANK(B29),0,IF(ISBLANK(H30),7,0))</f>
        <v>0</v>
      </c>
      <c r="W30" s="94">
        <v>0</v>
      </c>
      <c r="X30" s="94">
        <v>0</v>
      </c>
      <c r="Y30" s="94">
        <f>IF(ISBLANK(B26),IF(ISBLANK(B29),0,1),0)</f>
        <v>0</v>
      </c>
      <c r="Z30" s="94">
        <v>0</v>
      </c>
      <c r="AA30" s="94">
        <v>0</v>
      </c>
      <c r="AB30" s="94">
        <v>0</v>
      </c>
      <c r="AC30" s="94">
        <v>0</v>
      </c>
      <c r="AD30" s="94">
        <v>0</v>
      </c>
      <c r="AE30" s="94"/>
      <c r="AF30" s="128">
        <f>IF(ISBLANK(B29),0,COUNTIF(AG29:AK31,"&gt;0"))</f>
        <v>0</v>
      </c>
      <c r="AG30" s="98">
        <f>IF(I29="個人メドレー",IF(J29&lt;&gt;100,12,0),0)</f>
        <v>0</v>
      </c>
      <c r="AH30" s="98">
        <f>IF(J29=25,IF(K29&lt;1000,14,0),0)</f>
        <v>0</v>
      </c>
      <c r="AI30" s="98">
        <f>IF(J29=50,IF(K29&lt;2000,15,0),0)</f>
        <v>0</v>
      </c>
      <c r="AJ30" s="98">
        <f>IF(J29=100,IF(K29&lt;4500,16,0),0)</f>
        <v>0</v>
      </c>
      <c r="AK30" s="97">
        <v>0</v>
      </c>
      <c r="AL30" s="98"/>
      <c r="AM30" s="138">
        <f>IF(ISBLANK(B29),0,IF(AF30=0,COUNTIF(AN29:AR31,"&gt;0"),COUNTIF(AN31:AP31,"&gt;0")))</f>
        <v>0</v>
      </c>
      <c r="AN30" s="140">
        <f>IF(M29="個人メドレー",IF(N29&lt;&gt;100,23,0),0)</f>
        <v>0</v>
      </c>
      <c r="AO30" s="140">
        <f>IF(N29=25,IF(O29&lt;1000,25,0),0)</f>
        <v>0</v>
      </c>
      <c r="AP30" s="140">
        <f>IF(N29=50,IF(O29&lt;2000,26,0),0)</f>
        <v>0</v>
      </c>
      <c r="AQ30" s="140">
        <f>IF(N29=100,IF(O29&lt;4500,27,0),0)</f>
        <v>0</v>
      </c>
      <c r="AR30" s="140">
        <v>0</v>
      </c>
      <c r="AS30" s="98"/>
      <c r="AT30" s="96"/>
      <c r="AU30" s="99"/>
      <c r="AV30" s="71"/>
      <c r="AW30" s="71"/>
      <c r="AX30" s="71"/>
      <c r="AY30" s="71"/>
      <c r="AZ30" s="71">
        <v>31</v>
      </c>
      <c r="BA30" s="71">
        <v>30</v>
      </c>
      <c r="BB30" s="71"/>
      <c r="BC30" s="71"/>
      <c r="BD30" s="71"/>
      <c r="BE30" s="71"/>
      <c r="BF30" s="71"/>
      <c r="BG30" s="78"/>
      <c r="BH30" s="91"/>
      <c r="BI30" s="82"/>
      <c r="BJ30" s="82"/>
      <c r="BK30" s="78"/>
      <c r="BL30" s="91"/>
      <c r="BV30">
        <v>29</v>
      </c>
      <c r="BW30" s="117" t="s">
        <v>157</v>
      </c>
      <c r="BY30" t="s">
        <v>215</v>
      </c>
    </row>
    <row r="31" spans="1:77" ht="13.15" thickBot="1" x14ac:dyDescent="0.3">
      <c r="A31" s="213"/>
      <c r="B31" s="280"/>
      <c r="C31" s="281"/>
      <c r="D31" s="282"/>
      <c r="E31" s="283"/>
      <c r="F31" s="284"/>
      <c r="G31" s="285"/>
      <c r="H31" s="41"/>
      <c r="I31" s="258"/>
      <c r="J31" s="260"/>
      <c r="K31" s="237"/>
      <c r="L31" s="240"/>
      <c r="M31" s="258"/>
      <c r="N31" s="260"/>
      <c r="O31" s="237"/>
      <c r="P31" s="240"/>
      <c r="Q31" s="46"/>
      <c r="R31" s="47"/>
      <c r="S31" s="136">
        <f>COUNTIF(T29:AD31,"=0")</f>
        <v>31</v>
      </c>
      <c r="T31" s="98">
        <f>IF(COUNTIF(F30,"*区*")=0,IF(ISBLANK(B31),8,0),0)</f>
        <v>8</v>
      </c>
      <c r="U31" s="98">
        <f>IF(COUNTIF(F30,"*区*")=0,IF(ISBLANK(E31),9,0),0)</f>
        <v>9</v>
      </c>
      <c r="V31" s="98">
        <v>0</v>
      </c>
      <c r="W31" s="98">
        <v>0</v>
      </c>
      <c r="X31" s="98">
        <v>0</v>
      </c>
      <c r="Y31" s="98">
        <v>0</v>
      </c>
      <c r="Z31" s="94">
        <v>0</v>
      </c>
      <c r="AA31" s="94">
        <v>0</v>
      </c>
      <c r="AB31" s="94">
        <v>0</v>
      </c>
      <c r="AC31" s="94">
        <v>0</v>
      </c>
      <c r="AD31" s="94">
        <v>0</v>
      </c>
      <c r="AE31" s="94"/>
      <c r="AF31" s="128">
        <f>COUNTIF(AG29:AK31,"=0")</f>
        <v>11</v>
      </c>
      <c r="AG31" s="98">
        <v>0</v>
      </c>
      <c r="AH31" s="98">
        <v>0</v>
      </c>
      <c r="AI31" s="98">
        <v>0</v>
      </c>
      <c r="AJ31" s="98">
        <v>0</v>
      </c>
      <c r="AK31" s="97">
        <v>0</v>
      </c>
      <c r="AL31" s="98"/>
      <c r="AM31" s="138">
        <f>COUNTIF(AN29:AR31,"=0")</f>
        <v>14</v>
      </c>
      <c r="AN31" s="140">
        <f>IF(I29=M29,IF(J29=N29,29,0),0)</f>
        <v>29</v>
      </c>
      <c r="AO31" s="140">
        <f>IF(AF30=0,0,IF(ISBLANK(N29),0,20))</f>
        <v>0</v>
      </c>
      <c r="AP31" s="140">
        <f>IF(AF30=0,0,IF(ISBLANK(O29),0,20))</f>
        <v>0</v>
      </c>
      <c r="AQ31" s="140">
        <v>0</v>
      </c>
      <c r="AR31" s="140">
        <v>0</v>
      </c>
      <c r="AS31" s="98"/>
      <c r="AT31" s="96"/>
      <c r="AU31" s="99"/>
      <c r="AV31" s="71"/>
      <c r="AW31" s="71"/>
      <c r="AX31" s="71"/>
      <c r="AY31" s="71"/>
      <c r="AZ31" s="71">
        <v>32</v>
      </c>
      <c r="BA31" s="71">
        <v>30</v>
      </c>
      <c r="BB31" s="71"/>
      <c r="BC31" s="71"/>
      <c r="BD31" s="71"/>
      <c r="BE31" s="71"/>
      <c r="BF31" s="71"/>
      <c r="BG31" s="78"/>
      <c r="BH31" s="91"/>
      <c r="BI31" s="82"/>
      <c r="BJ31" s="82"/>
      <c r="BK31" s="78"/>
      <c r="BL31" s="91"/>
    </row>
    <row r="32" spans="1:77" ht="13.15" thickTop="1" x14ac:dyDescent="0.25">
      <c r="A32" s="274">
        <v>5</v>
      </c>
      <c r="B32" s="261"/>
      <c r="C32" s="261"/>
      <c r="D32" s="274" t="str">
        <f>PHONETIC(B32)&amp;" "&amp; PHONETIC(C32)</f>
        <v xml:space="preserve"> </v>
      </c>
      <c r="E32" s="48"/>
      <c r="F32" s="49"/>
      <c r="G32" s="38" t="str">
        <f>IF(ISBLANK(F32),"",IF(MONTH($AM$2)&gt;MONTH(F32),YEAR($AM$2)-YEAR(F32),IF(MONTH($AM$2)&lt;MONTH(F32),YEAR($AM$2)-YEAR(F32)-1,IF(DAY($AM$2)&gt;=DAY(F32),YEAR($AM$2)-YEAR(F32),YEAR($AM$2)-YEAR(F32)-1))))</f>
        <v/>
      </c>
      <c r="H32" s="50" t="str">
        <f>IF(S32&gt;0,VLOOKUP(S32,$BV$2:$BY$30,4),"-")</f>
        <v>-</v>
      </c>
      <c r="I32" s="269"/>
      <c r="J32" s="261"/>
      <c r="K32" s="264"/>
      <c r="L32" s="243" t="str">
        <f>IF(AF32&gt;0,VLOOKUP(AF32,$BV$2:$BY$30,4),"-")</f>
        <v>-</v>
      </c>
      <c r="M32" s="269"/>
      <c r="N32" s="261"/>
      <c r="O32" s="264"/>
      <c r="P32" s="243" t="str">
        <f>IF(AM32&gt;0,VLOOKUP(AM32,$BV$2:$BY$30,4),"-")</f>
        <v>-</v>
      </c>
      <c r="Q32" s="51"/>
      <c r="R32" s="51"/>
      <c r="S32" s="137">
        <f>IF(S33&gt;0,SMALL(T32:AD34,S34+1),0)</f>
        <v>0</v>
      </c>
      <c r="T32" s="95">
        <f>IF(ISBLANK(B32),0,IF(ISBLANK(E32),2,0))</f>
        <v>0</v>
      </c>
      <c r="U32" s="95">
        <f>IF(ISBLANK(B32),0,IF(ISBLANK(F32),3,0))</f>
        <v>0</v>
      </c>
      <c r="V32" s="95">
        <f>IF(ISBLANK(B32),0,IF(G32&lt;=17,4,0))</f>
        <v>0</v>
      </c>
      <c r="W32" s="95">
        <v>0</v>
      </c>
      <c r="X32" s="95">
        <v>0</v>
      </c>
      <c r="Y32" s="94">
        <v>0</v>
      </c>
      <c r="Z32" s="95">
        <v>0</v>
      </c>
      <c r="AA32" s="95">
        <v>0</v>
      </c>
      <c r="AB32" s="95">
        <v>0</v>
      </c>
      <c r="AC32" s="95">
        <v>0</v>
      </c>
      <c r="AD32" s="95">
        <v>0</v>
      </c>
      <c r="AE32" s="95"/>
      <c r="AF32" s="127">
        <f>IF(AF33&gt;0,SMALL(AG32:AK34,AF34+1),0)</f>
        <v>0</v>
      </c>
      <c r="AG32" s="102">
        <f>IF(ISBLANK(I32),10,0)</f>
        <v>10</v>
      </c>
      <c r="AH32" s="102">
        <f>IF(ISBLANK(J32),11,0)</f>
        <v>11</v>
      </c>
      <c r="AI32" s="102">
        <f>IF(ISBLANK(K32),13,0)</f>
        <v>13</v>
      </c>
      <c r="AJ32" s="102">
        <f>IF(ISNUMBER(K32),0,17)</f>
        <v>17</v>
      </c>
      <c r="AK32" s="101">
        <v>0</v>
      </c>
      <c r="AL32" s="102"/>
      <c r="AM32" s="141">
        <f>IF(AM33&gt;0,SMALL(AN32:AR34,AM34+1),0)</f>
        <v>0</v>
      </c>
      <c r="AN32" s="142">
        <f>IF(AF33=0,IF(ISBLANK(M32),IF(ISBLANK(N32),IF(ISBLANK(O32),0,21),21),0))</f>
        <v>0</v>
      </c>
      <c r="AO32" s="142">
        <f>IF(ISBLANK(M32),IF(ISBLANK(N32),0,22),IF(ISBLANK(N32),22,0))</f>
        <v>0</v>
      </c>
      <c r="AP32" s="142">
        <f>IF(ISBLANK(M32),0,IF(ISBLANK(O32),24,0))</f>
        <v>0</v>
      </c>
      <c r="AQ32" s="142">
        <f>IF(ISBLANK(O32),0,IF(ISNUMBER(O32),0,28))</f>
        <v>0</v>
      </c>
      <c r="AR32" s="142">
        <v>0</v>
      </c>
      <c r="AS32" s="102"/>
      <c r="AT32" s="100" t="e">
        <f>VLOOKUP(G32,$AZ$17:$BA$138,2)</f>
        <v>#N/A</v>
      </c>
      <c r="AU32" s="99"/>
      <c r="AV32" s="71"/>
      <c r="AW32" s="71"/>
      <c r="AX32" s="71"/>
      <c r="AY32" s="71"/>
      <c r="AZ32" s="71">
        <v>33</v>
      </c>
      <c r="BA32" s="71">
        <v>30</v>
      </c>
      <c r="BB32" s="71"/>
      <c r="BC32" s="71"/>
      <c r="BD32" s="71"/>
      <c r="BE32" s="71"/>
      <c r="BF32" s="71">
        <f>IF(E32="男",100,IF(E32="女",200,0))</f>
        <v>0</v>
      </c>
      <c r="BG32" s="78">
        <f>IF(I32="自由形",10,IF(I32="平泳ぎ",20,IF(I32="背泳ぎ",30,IF(I32="バタフライ",40,IF(I32="個人メドレー",50,0)))))</f>
        <v>0</v>
      </c>
      <c r="BH32" s="91">
        <f>IF(J32=25,1,IF(J32=50,2,IF(J32=100,3,0)))</f>
        <v>0</v>
      </c>
      <c r="BI32" s="82">
        <f>IF(M32="自由形",10,IF(M32="平泳ぎ",20,IF(M32="背泳ぎ",30,IF(M32="バタフライ",40,IF(M32="個人メドレー",50,0)))))</f>
        <v>0</v>
      </c>
      <c r="BJ32" s="82">
        <f>IF(N32=25,1,IF(N32=50,2,IF(N32=100,3,0)))</f>
        <v>0</v>
      </c>
      <c r="BK32" s="78">
        <f>BF32+BG32+BH32</f>
        <v>0</v>
      </c>
      <c r="BL32" s="91">
        <f>BF32+BI32+BJ32</f>
        <v>0</v>
      </c>
      <c r="BW32" s="115" t="s">
        <v>154</v>
      </c>
    </row>
    <row r="33" spans="1:75" x14ac:dyDescent="0.25">
      <c r="A33" s="275"/>
      <c r="B33" s="277"/>
      <c r="C33" s="279"/>
      <c r="D33" s="278"/>
      <c r="E33" s="54"/>
      <c r="F33" s="287"/>
      <c r="G33" s="247"/>
      <c r="H33" s="55"/>
      <c r="I33" s="270"/>
      <c r="J33" s="262"/>
      <c r="K33" s="265"/>
      <c r="L33" s="244"/>
      <c r="M33" s="270"/>
      <c r="N33" s="262"/>
      <c r="O33" s="265"/>
      <c r="P33" s="244"/>
      <c r="Q33" s="51"/>
      <c r="R33" s="51"/>
      <c r="S33" s="137">
        <f>IF(ISBLANK(B32),0,COUNTIF(T32:AD34,"&gt;0"))</f>
        <v>0</v>
      </c>
      <c r="T33" s="95">
        <f>IF(ISBLANK(B32),0,IF(ISBLANK(E33),5,0))</f>
        <v>0</v>
      </c>
      <c r="U33" s="95">
        <f>IF(ISBLANK(B32),0,IF(ISBLANK(F33),6,0))</f>
        <v>0</v>
      </c>
      <c r="V33" s="95">
        <f>IF(ISBLANK(B32),0,IF(ISBLANK(H33),7,0))</f>
        <v>0</v>
      </c>
      <c r="W33" s="95">
        <v>0</v>
      </c>
      <c r="X33" s="95">
        <v>0</v>
      </c>
      <c r="Y33" s="95">
        <f>IF(ISBLANK(B29),IF(ISBLANK(B32),0,1),0)</f>
        <v>0</v>
      </c>
      <c r="Z33" s="95">
        <v>0</v>
      </c>
      <c r="AA33" s="95">
        <v>0</v>
      </c>
      <c r="AB33" s="95">
        <v>0</v>
      </c>
      <c r="AC33" s="95">
        <v>0</v>
      </c>
      <c r="AD33" s="95">
        <v>0</v>
      </c>
      <c r="AE33" s="95"/>
      <c r="AF33" s="127">
        <f>IF(ISBLANK(B32),0,COUNTIF(AG32:AK34,"&gt;0"))</f>
        <v>0</v>
      </c>
      <c r="AG33" s="102">
        <f>IF(I32="個人メドレー",IF(J32&lt;&gt;100,12,0),0)</f>
        <v>0</v>
      </c>
      <c r="AH33" s="102">
        <f>IF(J32=25,IF(K32&lt;1000,14,0),0)</f>
        <v>0</v>
      </c>
      <c r="AI33" s="102">
        <f>IF(J32=50,IF(K32&lt;2000,15,0),0)</f>
        <v>0</v>
      </c>
      <c r="AJ33" s="102">
        <f>IF(J32=100,IF(K32&lt;4500,16,0),0)</f>
        <v>0</v>
      </c>
      <c r="AK33" s="101">
        <v>0</v>
      </c>
      <c r="AL33" s="102"/>
      <c r="AM33" s="141">
        <f>IF(ISBLANK(B32),0,IF(AF33=0,COUNTIF(AN32:AR34,"&gt;0"),COUNTIF(AN34:AP34,"&gt;0")))</f>
        <v>0</v>
      </c>
      <c r="AN33" s="142">
        <f>IF(M32="個人メドレー",IF(N32&lt;&gt;100,23,0),0)</f>
        <v>0</v>
      </c>
      <c r="AO33" s="142">
        <f>IF(N32=25,IF(O32&lt;1000,25,0),0)</f>
        <v>0</v>
      </c>
      <c r="AP33" s="142">
        <f>IF(N32=50,IF(O32&lt;2000,26,0),0)</f>
        <v>0</v>
      </c>
      <c r="AQ33" s="142">
        <f>IF(N32=100,IF(O32&lt;4500,27,0),0)</f>
        <v>0</v>
      </c>
      <c r="AR33" s="142">
        <v>0</v>
      </c>
      <c r="AS33" s="102"/>
      <c r="AT33" s="100"/>
      <c r="AU33" s="99"/>
      <c r="AV33" s="71"/>
      <c r="AW33" s="71"/>
      <c r="AX33" s="71"/>
      <c r="AY33" s="71"/>
      <c r="AZ33" s="71">
        <v>34</v>
      </c>
      <c r="BA33" s="71">
        <v>30</v>
      </c>
      <c r="BB33" s="71"/>
      <c r="BC33" s="71"/>
      <c r="BD33" s="71"/>
      <c r="BE33" s="71"/>
      <c r="BF33" s="71"/>
      <c r="BG33" s="78"/>
      <c r="BH33" s="91"/>
      <c r="BI33" s="82"/>
      <c r="BJ33" s="82"/>
      <c r="BK33" s="78"/>
      <c r="BL33" s="91"/>
      <c r="BW33" s="115" t="s">
        <v>155</v>
      </c>
    </row>
    <row r="34" spans="1:75" ht="13.15" thickBot="1" x14ac:dyDescent="0.3">
      <c r="A34" s="276"/>
      <c r="B34" s="248"/>
      <c r="C34" s="249"/>
      <c r="D34" s="250"/>
      <c r="E34" s="251"/>
      <c r="F34" s="252"/>
      <c r="G34" s="253"/>
      <c r="H34" s="56"/>
      <c r="I34" s="271"/>
      <c r="J34" s="263"/>
      <c r="K34" s="266"/>
      <c r="L34" s="245"/>
      <c r="M34" s="271"/>
      <c r="N34" s="263"/>
      <c r="O34" s="266"/>
      <c r="P34" s="245"/>
      <c r="Q34" s="52"/>
      <c r="R34" s="53"/>
      <c r="S34" s="132">
        <f>COUNTIF(T32:AD34,"=0")</f>
        <v>31</v>
      </c>
      <c r="T34" s="102">
        <f>IF(COUNTIF(F33,"*区*")=0,IF(ISBLANK(B34),8,0),0)</f>
        <v>8</v>
      </c>
      <c r="U34" s="102">
        <f>IF(COUNTIF(F33,"*区*")=0,IF(ISBLANK(E34),9,0),0)</f>
        <v>9</v>
      </c>
      <c r="V34" s="102">
        <v>0</v>
      </c>
      <c r="W34" s="102">
        <v>0</v>
      </c>
      <c r="X34" s="102">
        <v>0</v>
      </c>
      <c r="Y34" s="102">
        <v>0</v>
      </c>
      <c r="Z34" s="95">
        <v>0</v>
      </c>
      <c r="AA34" s="95">
        <v>0</v>
      </c>
      <c r="AB34" s="95">
        <v>0</v>
      </c>
      <c r="AC34" s="95">
        <v>0</v>
      </c>
      <c r="AD34" s="95">
        <v>0</v>
      </c>
      <c r="AE34" s="95"/>
      <c r="AF34" s="127">
        <f>COUNTIF(AG32:AK34,"=0")</f>
        <v>11</v>
      </c>
      <c r="AG34" s="102">
        <v>0</v>
      </c>
      <c r="AH34" s="102">
        <v>0</v>
      </c>
      <c r="AI34" s="102">
        <v>0</v>
      </c>
      <c r="AJ34" s="102">
        <v>0</v>
      </c>
      <c r="AK34" s="101">
        <v>0</v>
      </c>
      <c r="AL34" s="102"/>
      <c r="AM34" s="141">
        <f>COUNTIF(AN32:AR34,"=0")</f>
        <v>14</v>
      </c>
      <c r="AN34" s="142">
        <f>IF(I32=M32,IF(J32=N32,29,0),0)</f>
        <v>29</v>
      </c>
      <c r="AO34" s="142">
        <f>IF(AF33=0,0,IF(ISBLANK(N32),0,20))</f>
        <v>0</v>
      </c>
      <c r="AP34" s="142">
        <f>IF(AF33=0,0,IF(ISBLANK(O32),0,20))</f>
        <v>0</v>
      </c>
      <c r="AQ34" s="142">
        <v>0</v>
      </c>
      <c r="AR34" s="142">
        <v>0</v>
      </c>
      <c r="AS34" s="102"/>
      <c r="AT34" s="100"/>
      <c r="AU34" s="99"/>
      <c r="AV34" s="71"/>
      <c r="AW34" s="71"/>
      <c r="AX34" s="71"/>
      <c r="AY34" s="71"/>
      <c r="AZ34" s="71">
        <v>35</v>
      </c>
      <c r="BA34" s="71">
        <v>30</v>
      </c>
      <c r="BB34" s="71"/>
      <c r="BC34" s="71"/>
      <c r="BD34" s="71"/>
      <c r="BE34" s="71"/>
      <c r="BF34" s="71"/>
      <c r="BG34" s="78"/>
      <c r="BH34" s="91"/>
      <c r="BI34" s="82"/>
      <c r="BJ34" s="82"/>
      <c r="BK34" s="78"/>
      <c r="BL34" s="91"/>
      <c r="BW34" s="115" t="s">
        <v>156</v>
      </c>
    </row>
    <row r="35" spans="1:75" ht="13.15" thickTop="1" x14ac:dyDescent="0.25">
      <c r="A35" s="211">
        <v>6</v>
      </c>
      <c r="B35" s="254"/>
      <c r="C35" s="254"/>
      <c r="D35" s="211" t="str">
        <f>PHONETIC(B35)&amp;" "&amp; PHONETIC(C35)</f>
        <v xml:space="preserve"> </v>
      </c>
      <c r="E35" s="43"/>
      <c r="F35" s="40"/>
      <c r="G35" s="37" t="str">
        <f>IF(ISBLANK(F35),"",IF(MONTH($AM$2)&gt;MONTH(F35),YEAR($AM$2)-YEAR(F35),IF(MONTH($AM$2)&lt;MONTH(F35),YEAR($AM$2)-YEAR(F35)-1,IF(DAY($AM$2)&gt;=DAY(F35),YEAR($AM$2)-YEAR(F35),YEAR($AM$2)-YEAR(F35)-1))))</f>
        <v/>
      </c>
      <c r="H35" s="42" t="str">
        <f>IF(S35&gt;0,VLOOKUP(S35,$BV$2:$BY$30,4),"-")</f>
        <v>-</v>
      </c>
      <c r="I35" s="256"/>
      <c r="J35" s="254"/>
      <c r="K35" s="235"/>
      <c r="L35" s="238" t="str">
        <f>IF(AF35&gt;0,VLOOKUP(AF35,$BV$2:$BY$30,4),"-")</f>
        <v>-</v>
      </c>
      <c r="M35" s="256"/>
      <c r="N35" s="254"/>
      <c r="O35" s="235"/>
      <c r="P35" s="238" t="str">
        <f>IF(AM35&gt;0,VLOOKUP(AM35,$BV$2:$BY$30,4),"-")</f>
        <v>-</v>
      </c>
      <c r="Q35" s="45"/>
      <c r="R35" s="45"/>
      <c r="S35" s="135">
        <f>IF(S36&gt;0,SMALL(T35:AD37,S37+1),0)</f>
        <v>0</v>
      </c>
      <c r="T35" s="94">
        <f>IF(ISBLANK(B35),0,IF(ISBLANK(E35),2,0))</f>
        <v>0</v>
      </c>
      <c r="U35" s="94">
        <f>IF(ISBLANK(B35),0,IF(ISBLANK(F35),3,0))</f>
        <v>0</v>
      </c>
      <c r="V35" s="94">
        <f>IF(ISBLANK(B35),0,IF(G35&lt;=17,4,0))</f>
        <v>0</v>
      </c>
      <c r="W35" s="94">
        <v>0</v>
      </c>
      <c r="X35" s="94">
        <v>0</v>
      </c>
      <c r="Y35" s="94">
        <v>0</v>
      </c>
      <c r="Z35" s="94">
        <v>0</v>
      </c>
      <c r="AA35" s="94">
        <v>0</v>
      </c>
      <c r="AB35" s="94">
        <v>0</v>
      </c>
      <c r="AC35" s="94">
        <v>0</v>
      </c>
      <c r="AD35" s="94">
        <v>0</v>
      </c>
      <c r="AE35" s="94"/>
      <c r="AF35" s="128">
        <f>IF(AF36&gt;0,SMALL(AG35:AK37,AF37+1),0)</f>
        <v>0</v>
      </c>
      <c r="AG35" s="98">
        <f>IF(ISBLANK(I35),10,0)</f>
        <v>10</v>
      </c>
      <c r="AH35" s="98">
        <f>IF(ISBLANK(J35),11,0)</f>
        <v>11</v>
      </c>
      <c r="AI35" s="98">
        <f>IF(ISBLANK(K35),13,0)</f>
        <v>13</v>
      </c>
      <c r="AJ35" s="98">
        <f>IF(ISNUMBER(K35),0,17)</f>
        <v>17</v>
      </c>
      <c r="AK35" s="97">
        <v>0</v>
      </c>
      <c r="AL35" s="98"/>
      <c r="AM35" s="138">
        <f>IF(AM36&gt;0,SMALL(AN35:AR37,AM37+1),0)</f>
        <v>0</v>
      </c>
      <c r="AN35" s="140">
        <f>IF(AF36=0,IF(ISBLANK(M35),IF(ISBLANK(N35),IF(ISBLANK(O35),0,21),21),0))</f>
        <v>0</v>
      </c>
      <c r="AO35" s="140">
        <f>IF(ISBLANK(M35),IF(ISBLANK(N35),0,22),IF(ISBLANK(N35),22,0))</f>
        <v>0</v>
      </c>
      <c r="AP35" s="140">
        <f>IF(ISBLANK(M35),0,IF(ISBLANK(O35),24,0))</f>
        <v>0</v>
      </c>
      <c r="AQ35" s="140">
        <f>IF(ISBLANK(O35),0,IF(ISNUMBER(O35),0,28))</f>
        <v>0</v>
      </c>
      <c r="AR35" s="140">
        <v>0</v>
      </c>
      <c r="AS35" s="98"/>
      <c r="AT35" s="96" t="e">
        <f>VLOOKUP(G35,$AZ$17:$BA$138,2)</f>
        <v>#N/A</v>
      </c>
      <c r="AU35" s="99"/>
      <c r="AV35" s="71"/>
      <c r="AW35" s="71"/>
      <c r="AX35" s="71"/>
      <c r="AY35" s="71"/>
      <c r="AZ35" s="71">
        <v>36</v>
      </c>
      <c r="BA35" s="71">
        <v>30</v>
      </c>
      <c r="BB35" s="71"/>
      <c r="BC35" s="71"/>
      <c r="BD35" s="71"/>
      <c r="BE35" s="71"/>
      <c r="BF35" s="71">
        <f>IF(E35="男",100,IF(E35="女",200,0))</f>
        <v>0</v>
      </c>
      <c r="BG35" s="78">
        <f>IF(I35="自由形",10,IF(I35="平泳ぎ",20,IF(I35="背泳ぎ",30,IF(I35="バタフライ",40,IF(I35="個人メドレー",50,0)))))</f>
        <v>0</v>
      </c>
      <c r="BH35" s="91">
        <f>IF(J35=25,1,IF(J35=50,2,IF(J35=100,3,0)))</f>
        <v>0</v>
      </c>
      <c r="BI35" s="82">
        <f>IF(M35="自由形",10,IF(M35="平泳ぎ",20,IF(M35="背泳ぎ",30,IF(M35="バタフライ",40,IF(M35="個人メドレー",50,0)))))</f>
        <v>0</v>
      </c>
      <c r="BJ35" s="82">
        <f>IF(N35=25,1,IF(N35=50,2,IF(N35=100,3,0)))</f>
        <v>0</v>
      </c>
      <c r="BK35" s="78">
        <f>BF35+BG35+BH35</f>
        <v>0</v>
      </c>
      <c r="BL35" s="91">
        <f>BF35+BI35+BJ35</f>
        <v>0</v>
      </c>
      <c r="BW35" s="115" t="s">
        <v>93</v>
      </c>
    </row>
    <row r="36" spans="1:75" x14ac:dyDescent="0.25">
      <c r="A36" s="212"/>
      <c r="B36" s="255"/>
      <c r="C36" s="279"/>
      <c r="D36" s="216"/>
      <c r="E36" s="44"/>
      <c r="F36" s="286"/>
      <c r="G36" s="242"/>
      <c r="H36" s="39"/>
      <c r="I36" s="257"/>
      <c r="J36" s="259"/>
      <c r="K36" s="236"/>
      <c r="L36" s="239"/>
      <c r="M36" s="257"/>
      <c r="N36" s="259"/>
      <c r="O36" s="236"/>
      <c r="P36" s="239"/>
      <c r="Q36" s="45"/>
      <c r="R36" s="45"/>
      <c r="S36" s="135">
        <f>IF(ISBLANK(B35),0,COUNTIF(T35:AD37,"&gt;0"))</f>
        <v>0</v>
      </c>
      <c r="T36" s="94">
        <f>IF(ISBLANK(B35),0,IF(ISBLANK(E36),5,0))</f>
        <v>0</v>
      </c>
      <c r="U36" s="94">
        <f>IF(ISBLANK(B35),0,IF(ISBLANK(F36),6,0))</f>
        <v>0</v>
      </c>
      <c r="V36" s="94">
        <f>IF(ISBLANK(B35),0,IF(ISBLANK(H36),7,0))</f>
        <v>0</v>
      </c>
      <c r="W36" s="94">
        <v>0</v>
      </c>
      <c r="X36" s="94">
        <v>0</v>
      </c>
      <c r="Y36" s="94">
        <f>IF(ISBLANK(B32),IF(ISBLANK(B35),0,1),0)</f>
        <v>0</v>
      </c>
      <c r="Z36" s="94">
        <v>0</v>
      </c>
      <c r="AA36" s="94">
        <v>0</v>
      </c>
      <c r="AB36" s="94">
        <v>0</v>
      </c>
      <c r="AC36" s="94">
        <v>0</v>
      </c>
      <c r="AD36" s="94">
        <v>0</v>
      </c>
      <c r="AE36" s="94"/>
      <c r="AF36" s="128">
        <f>IF(ISBLANK(B35),0,COUNTIF(AG35:AK37,"&gt;0"))</f>
        <v>0</v>
      </c>
      <c r="AG36" s="98">
        <f>IF(I35="個人メドレー",IF(J35&lt;&gt;100,12,0),0)</f>
        <v>0</v>
      </c>
      <c r="AH36" s="98">
        <f>IF(J35=25,IF(K35&lt;1000,14,0),0)</f>
        <v>0</v>
      </c>
      <c r="AI36" s="98">
        <f>IF(J35=50,IF(K35&lt;2000,15,0),0)</f>
        <v>0</v>
      </c>
      <c r="AJ36" s="98">
        <f>IF(J35=100,IF(K35&lt;4500,16,0),0)</f>
        <v>0</v>
      </c>
      <c r="AK36" s="97">
        <v>0</v>
      </c>
      <c r="AL36" s="98"/>
      <c r="AM36" s="138">
        <f>IF(ISBLANK(B35),0,IF(AF36=0,COUNTIF(AN35:AR37,"&gt;0"),COUNTIF(AN37:AP37,"&gt;0")))</f>
        <v>0</v>
      </c>
      <c r="AN36" s="140">
        <f>IF(M35="個人メドレー",IF(N35&lt;&gt;100,23,0),0)</f>
        <v>0</v>
      </c>
      <c r="AO36" s="140">
        <f>IF(N35=25,IF(O35&lt;1000,25,0),0)</f>
        <v>0</v>
      </c>
      <c r="AP36" s="140">
        <f>IF(N35=50,IF(O35&lt;2000,26,0),0)</f>
        <v>0</v>
      </c>
      <c r="AQ36" s="140">
        <f>IF(N35=100,IF(O35&lt;4500,27,0),0)</f>
        <v>0</v>
      </c>
      <c r="AR36" s="140">
        <v>0</v>
      </c>
      <c r="AS36" s="98"/>
      <c r="AT36" s="96"/>
      <c r="AU36" s="99"/>
      <c r="AV36" s="71"/>
      <c r="AW36" s="71"/>
      <c r="AX36" s="71"/>
      <c r="AY36" s="71"/>
      <c r="AZ36" s="71">
        <v>37</v>
      </c>
      <c r="BA36" s="71">
        <v>30</v>
      </c>
      <c r="BB36" s="71"/>
      <c r="BC36" s="71"/>
      <c r="BD36" s="71"/>
      <c r="BE36" s="71"/>
      <c r="BF36" s="71"/>
      <c r="BG36" s="78"/>
      <c r="BH36" s="91"/>
      <c r="BI36" s="82"/>
      <c r="BJ36" s="82"/>
      <c r="BK36" s="78"/>
      <c r="BL36" s="91"/>
      <c r="BW36" s="115" t="s">
        <v>70</v>
      </c>
    </row>
    <row r="37" spans="1:75" ht="13.15" thickBot="1" x14ac:dyDescent="0.3">
      <c r="A37" s="213"/>
      <c r="B37" s="280"/>
      <c r="C37" s="281"/>
      <c r="D37" s="282"/>
      <c r="E37" s="283"/>
      <c r="F37" s="284"/>
      <c r="G37" s="285"/>
      <c r="H37" s="41"/>
      <c r="I37" s="258"/>
      <c r="J37" s="260"/>
      <c r="K37" s="237"/>
      <c r="L37" s="240"/>
      <c r="M37" s="258"/>
      <c r="N37" s="260"/>
      <c r="O37" s="237"/>
      <c r="P37" s="240"/>
      <c r="Q37" s="46"/>
      <c r="R37" s="47"/>
      <c r="S37" s="136">
        <f>COUNTIF(T35:AD37,"=0")</f>
        <v>31</v>
      </c>
      <c r="T37" s="98">
        <f>IF(COUNTIF(F36,"*区*")=0,IF(ISBLANK(B37),8,0),0)</f>
        <v>8</v>
      </c>
      <c r="U37" s="98">
        <f>IF(COUNTIF(F36,"*区*")=0,IF(ISBLANK(E37),9,0),0)</f>
        <v>9</v>
      </c>
      <c r="V37" s="98">
        <v>0</v>
      </c>
      <c r="W37" s="98">
        <v>0</v>
      </c>
      <c r="X37" s="98">
        <v>0</v>
      </c>
      <c r="Y37" s="98">
        <v>0</v>
      </c>
      <c r="Z37" s="94">
        <v>0</v>
      </c>
      <c r="AA37" s="94">
        <v>0</v>
      </c>
      <c r="AB37" s="94">
        <v>0</v>
      </c>
      <c r="AC37" s="94">
        <v>0</v>
      </c>
      <c r="AD37" s="94">
        <v>0</v>
      </c>
      <c r="AE37" s="94"/>
      <c r="AF37" s="128">
        <f>COUNTIF(AG35:AK37,"=0")</f>
        <v>11</v>
      </c>
      <c r="AG37" s="98">
        <v>0</v>
      </c>
      <c r="AH37" s="98">
        <v>0</v>
      </c>
      <c r="AI37" s="98">
        <v>0</v>
      </c>
      <c r="AJ37" s="98">
        <v>0</v>
      </c>
      <c r="AK37" s="97">
        <v>0</v>
      </c>
      <c r="AL37" s="98"/>
      <c r="AM37" s="138">
        <f>COUNTIF(AN35:AR37,"=0")</f>
        <v>14</v>
      </c>
      <c r="AN37" s="140">
        <f>IF(I35=M35,IF(J35=N35,29,0),0)</f>
        <v>29</v>
      </c>
      <c r="AO37" s="140">
        <f>IF(AF36=0,0,IF(ISBLANK(N35),0,20))</f>
        <v>0</v>
      </c>
      <c r="AP37" s="140">
        <f>IF(AF36=0,0,IF(ISBLANK(O35),0,20))</f>
        <v>0</v>
      </c>
      <c r="AQ37" s="140">
        <v>0</v>
      </c>
      <c r="AR37" s="140">
        <v>0</v>
      </c>
      <c r="AS37" s="98"/>
      <c r="AT37" s="96"/>
      <c r="AU37" s="99"/>
      <c r="AV37" s="71"/>
      <c r="AW37" s="71"/>
      <c r="AX37" s="71"/>
      <c r="AY37" s="71"/>
      <c r="AZ37" s="71">
        <v>38</v>
      </c>
      <c r="BA37" s="71">
        <v>30</v>
      </c>
      <c r="BB37" s="71"/>
      <c r="BC37" s="71"/>
      <c r="BD37" s="71"/>
      <c r="BE37" s="71"/>
      <c r="BF37" s="71"/>
      <c r="BG37" s="78"/>
      <c r="BH37" s="91"/>
      <c r="BI37" s="82"/>
      <c r="BJ37" s="82"/>
      <c r="BK37" s="78"/>
      <c r="BL37" s="91"/>
      <c r="BW37" s="115" t="s">
        <v>60</v>
      </c>
    </row>
    <row r="38" spans="1:75" ht="13.15" thickTop="1" x14ac:dyDescent="0.25">
      <c r="A38" s="274">
        <v>7</v>
      </c>
      <c r="B38" s="261"/>
      <c r="C38" s="261"/>
      <c r="D38" s="274" t="str">
        <f>PHONETIC(B38)&amp;" "&amp; PHONETIC(C38)</f>
        <v xml:space="preserve"> </v>
      </c>
      <c r="E38" s="48"/>
      <c r="F38" s="49"/>
      <c r="G38" s="38" t="str">
        <f>IF(ISBLANK(F38),"",IF(MONTH($AM$2)&gt;MONTH(F38),YEAR($AM$2)-YEAR(F38),IF(MONTH($AM$2)&lt;MONTH(F38),YEAR($AM$2)-YEAR(F38)-1,IF(DAY($AM$2)&gt;=DAY(F38),YEAR($AM$2)-YEAR(F38),YEAR($AM$2)-YEAR(F38)-1))))</f>
        <v/>
      </c>
      <c r="H38" s="50" t="str">
        <f>IF(S38&gt;0,VLOOKUP(S38,$BV$2:$BY$30,4),"-")</f>
        <v>-</v>
      </c>
      <c r="I38" s="269"/>
      <c r="J38" s="261"/>
      <c r="K38" s="264"/>
      <c r="L38" s="243" t="str">
        <f>IF(AF38&gt;0,VLOOKUP(AF38,$BV$2:$BY$30,4),"-")</f>
        <v>-</v>
      </c>
      <c r="M38" s="269"/>
      <c r="N38" s="261"/>
      <c r="O38" s="264"/>
      <c r="P38" s="243" t="str">
        <f>IF(AM38&gt;0,VLOOKUP(AM38,$BV$2:$BY$30,4),"-")</f>
        <v>-</v>
      </c>
      <c r="Q38" s="51"/>
      <c r="R38" s="51"/>
      <c r="S38" s="137">
        <f>IF(S39&gt;0,SMALL(T38:AD40,S40+1),0)</f>
        <v>0</v>
      </c>
      <c r="T38" s="95">
        <f>IF(ISBLANK(B38),0,IF(ISBLANK(E38),2,0))</f>
        <v>0</v>
      </c>
      <c r="U38" s="95">
        <f>IF(ISBLANK(B38),0,IF(ISBLANK(F38),3,0))</f>
        <v>0</v>
      </c>
      <c r="V38" s="95">
        <f>IF(ISBLANK(B38),0,IF(G38&lt;=17,4,0))</f>
        <v>0</v>
      </c>
      <c r="W38" s="95">
        <v>0</v>
      </c>
      <c r="X38" s="95">
        <v>0</v>
      </c>
      <c r="Y38" s="94">
        <v>0</v>
      </c>
      <c r="Z38" s="95">
        <v>0</v>
      </c>
      <c r="AA38" s="95">
        <v>0</v>
      </c>
      <c r="AB38" s="95">
        <v>0</v>
      </c>
      <c r="AC38" s="95">
        <v>0</v>
      </c>
      <c r="AD38" s="95">
        <v>0</v>
      </c>
      <c r="AE38" s="95"/>
      <c r="AF38" s="127">
        <f>IF(AF39&gt;0,SMALL(AG38:AK40,AF40+1),0)</f>
        <v>0</v>
      </c>
      <c r="AG38" s="102">
        <f>IF(ISBLANK(I38),10,0)</f>
        <v>10</v>
      </c>
      <c r="AH38" s="102">
        <f>IF(ISBLANK(J38),11,0)</f>
        <v>11</v>
      </c>
      <c r="AI38" s="102">
        <f>IF(ISBLANK(K38),13,0)</f>
        <v>13</v>
      </c>
      <c r="AJ38" s="102">
        <f>IF(ISNUMBER(K38),0,17)</f>
        <v>17</v>
      </c>
      <c r="AK38" s="101">
        <v>0</v>
      </c>
      <c r="AL38" s="102"/>
      <c r="AM38" s="141">
        <f>IF(AM39&gt;0,SMALL(AN38:AR40,AM40+1),0)</f>
        <v>0</v>
      </c>
      <c r="AN38" s="142">
        <f>IF(AF39=0,IF(ISBLANK(M38),IF(ISBLANK(N38),IF(ISBLANK(O38),0,21),21),0))</f>
        <v>0</v>
      </c>
      <c r="AO38" s="142">
        <f>IF(ISBLANK(M38),IF(ISBLANK(N38),0,22),IF(ISBLANK(N38),22,0))</f>
        <v>0</v>
      </c>
      <c r="AP38" s="142">
        <f>IF(ISBLANK(M38),0,IF(ISBLANK(O38),24,0))</f>
        <v>0</v>
      </c>
      <c r="AQ38" s="142">
        <f>IF(ISBLANK(O38),0,IF(ISNUMBER(O38),0,28))</f>
        <v>0</v>
      </c>
      <c r="AR38" s="142">
        <v>0</v>
      </c>
      <c r="AS38" s="102"/>
      <c r="AT38" s="100" t="e">
        <f>VLOOKUP(G38,$AZ$17:$BA$138,2)</f>
        <v>#N/A</v>
      </c>
      <c r="AU38" s="99"/>
      <c r="AV38" s="71"/>
      <c r="AW38" s="71"/>
      <c r="AX38" s="71"/>
      <c r="AY38" s="71"/>
      <c r="AZ38" s="71">
        <v>39</v>
      </c>
      <c r="BA38" s="71">
        <v>30</v>
      </c>
      <c r="BB38" s="71"/>
      <c r="BC38" s="71"/>
      <c r="BD38" s="71"/>
      <c r="BE38" s="71"/>
      <c r="BF38" s="71">
        <f>IF(E38="男",100,IF(E38="女",200,0))</f>
        <v>0</v>
      </c>
      <c r="BG38" s="78">
        <f>IF(I38="自由形",10,IF(I38="平泳ぎ",20,IF(I38="背泳ぎ",30,IF(I38="バタフライ",40,IF(I38="個人メドレー",50,0)))))</f>
        <v>0</v>
      </c>
      <c r="BH38" s="91">
        <f>IF(J38=25,1,IF(J38=50,2,IF(J38=100,3,0)))</f>
        <v>0</v>
      </c>
      <c r="BI38" s="82">
        <f>IF(M38="自由形",10,IF(M38="平泳ぎ",20,IF(M38="背泳ぎ",30,IF(M38="バタフライ",40,IF(M38="個人メドレー",50,0)))))</f>
        <v>0</v>
      </c>
      <c r="BJ38" s="82">
        <f>IF(N38=25,1,IF(N38=50,2,IF(N38=100,3,0)))</f>
        <v>0</v>
      </c>
      <c r="BK38" s="78">
        <f>BF38+BG38+BH38</f>
        <v>0</v>
      </c>
      <c r="BL38" s="91">
        <f>BF38+BI38+BJ38</f>
        <v>0</v>
      </c>
    </row>
    <row r="39" spans="1:75" x14ac:dyDescent="0.25">
      <c r="A39" s="275"/>
      <c r="B39" s="277"/>
      <c r="C39" s="279"/>
      <c r="D39" s="278"/>
      <c r="E39" s="54"/>
      <c r="F39" s="287"/>
      <c r="G39" s="247"/>
      <c r="H39" s="55"/>
      <c r="I39" s="270"/>
      <c r="J39" s="262"/>
      <c r="K39" s="265"/>
      <c r="L39" s="244"/>
      <c r="M39" s="270"/>
      <c r="N39" s="262"/>
      <c r="O39" s="265"/>
      <c r="P39" s="244"/>
      <c r="Q39" s="51"/>
      <c r="R39" s="51"/>
      <c r="S39" s="137">
        <f>IF(ISBLANK(B38),0,COUNTIF(T38:AD40,"&gt;0"))</f>
        <v>0</v>
      </c>
      <c r="T39" s="95">
        <f>IF(ISBLANK(B38),0,IF(ISBLANK(E39),5,0))</f>
        <v>0</v>
      </c>
      <c r="U39" s="95">
        <f>IF(ISBLANK(B38),0,IF(ISBLANK(F39),6,0))</f>
        <v>0</v>
      </c>
      <c r="V39" s="95">
        <f>IF(ISBLANK(B38),0,IF(ISBLANK(H39),7,0))</f>
        <v>0</v>
      </c>
      <c r="W39" s="95">
        <v>0</v>
      </c>
      <c r="X39" s="95">
        <v>0</v>
      </c>
      <c r="Y39" s="95">
        <f>IF(ISBLANK(B35),IF(ISBLANK(B38),0,1),0)</f>
        <v>0</v>
      </c>
      <c r="Z39" s="95">
        <v>0</v>
      </c>
      <c r="AA39" s="95">
        <v>0</v>
      </c>
      <c r="AB39" s="95">
        <v>0</v>
      </c>
      <c r="AC39" s="95">
        <v>0</v>
      </c>
      <c r="AD39" s="95">
        <v>0</v>
      </c>
      <c r="AE39" s="95"/>
      <c r="AF39" s="127">
        <f>IF(ISBLANK(B38),0,COUNTIF(AG38:AK40,"&gt;0"))</f>
        <v>0</v>
      </c>
      <c r="AG39" s="102">
        <f>IF(I38="個人メドレー",IF(J38&lt;&gt;100,12,0),0)</f>
        <v>0</v>
      </c>
      <c r="AH39" s="102">
        <f>IF(J38=25,IF(K38&lt;1000,14,0),0)</f>
        <v>0</v>
      </c>
      <c r="AI39" s="102">
        <f>IF(J38=50,IF(K38&lt;2000,15,0),0)</f>
        <v>0</v>
      </c>
      <c r="AJ39" s="102">
        <f>IF(J38=100,IF(K38&lt;4500,16,0),0)</f>
        <v>0</v>
      </c>
      <c r="AK39" s="101">
        <v>0</v>
      </c>
      <c r="AL39" s="102"/>
      <c r="AM39" s="141">
        <f>IF(ISBLANK(B38),0,IF(AF39=0,COUNTIF(AN38:AR40,"&gt;0"),COUNTIF(AN40:AP40,"&gt;0")))</f>
        <v>0</v>
      </c>
      <c r="AN39" s="142">
        <f>IF(M38="個人メドレー",IF(N38&lt;&gt;100,23,0),0)</f>
        <v>0</v>
      </c>
      <c r="AO39" s="142">
        <f>IF(N38=25,IF(O38&lt;1000,25,0),0)</f>
        <v>0</v>
      </c>
      <c r="AP39" s="142">
        <f>IF(N38=50,IF(O38&lt;2000,26,0),0)</f>
        <v>0</v>
      </c>
      <c r="AQ39" s="142">
        <f>IF(N38=100,IF(O38&lt;4500,27,0),0)</f>
        <v>0</v>
      </c>
      <c r="AR39" s="142">
        <v>0</v>
      </c>
      <c r="AS39" s="102"/>
      <c r="AT39" s="100"/>
      <c r="AU39" s="99"/>
      <c r="AV39" s="71"/>
      <c r="AW39" s="71"/>
      <c r="AX39" s="71"/>
      <c r="AY39" s="71"/>
      <c r="AZ39" s="71">
        <v>40</v>
      </c>
      <c r="BA39" s="71">
        <v>40</v>
      </c>
      <c r="BB39" s="71"/>
      <c r="BC39" s="71"/>
      <c r="BD39" s="71"/>
      <c r="BE39" s="71"/>
      <c r="BF39" s="71"/>
      <c r="BG39" s="78"/>
      <c r="BH39" s="91"/>
      <c r="BI39" s="82"/>
      <c r="BJ39" s="82"/>
      <c r="BK39" s="78"/>
      <c r="BL39" s="91"/>
    </row>
    <row r="40" spans="1:75" ht="13.15" thickBot="1" x14ac:dyDescent="0.3">
      <c r="A40" s="276"/>
      <c r="B40" s="248"/>
      <c r="C40" s="249"/>
      <c r="D40" s="250"/>
      <c r="E40" s="251"/>
      <c r="F40" s="252"/>
      <c r="G40" s="253"/>
      <c r="H40" s="56"/>
      <c r="I40" s="271"/>
      <c r="J40" s="263"/>
      <c r="K40" s="266"/>
      <c r="L40" s="245"/>
      <c r="M40" s="271"/>
      <c r="N40" s="263"/>
      <c r="O40" s="266"/>
      <c r="P40" s="245"/>
      <c r="Q40" s="52"/>
      <c r="R40" s="53"/>
      <c r="S40" s="132">
        <f>COUNTIF(T38:AD40,"=0")</f>
        <v>31</v>
      </c>
      <c r="T40" s="102">
        <f>IF(COUNTIF(F39,"*区*")=0,IF(ISBLANK(B40),8,0),0)</f>
        <v>8</v>
      </c>
      <c r="U40" s="102">
        <f>IF(COUNTIF(F39,"*区*")=0,IF(ISBLANK(E40),9,0),0)</f>
        <v>9</v>
      </c>
      <c r="V40" s="102">
        <v>0</v>
      </c>
      <c r="W40" s="102">
        <v>0</v>
      </c>
      <c r="X40" s="102">
        <v>0</v>
      </c>
      <c r="Y40" s="102">
        <v>0</v>
      </c>
      <c r="Z40" s="95">
        <v>0</v>
      </c>
      <c r="AA40" s="95">
        <v>0</v>
      </c>
      <c r="AB40" s="95">
        <v>0</v>
      </c>
      <c r="AC40" s="95">
        <v>0</v>
      </c>
      <c r="AD40" s="95">
        <v>0</v>
      </c>
      <c r="AE40" s="95"/>
      <c r="AF40" s="127">
        <f>COUNTIF(AG38:AK40,"=0")</f>
        <v>11</v>
      </c>
      <c r="AG40" s="102">
        <v>0</v>
      </c>
      <c r="AH40" s="102">
        <v>0</v>
      </c>
      <c r="AI40" s="102">
        <v>0</v>
      </c>
      <c r="AJ40" s="102">
        <v>0</v>
      </c>
      <c r="AK40" s="101">
        <v>0</v>
      </c>
      <c r="AL40" s="102"/>
      <c r="AM40" s="141">
        <f>COUNTIF(AN38:AR40,"=0")</f>
        <v>14</v>
      </c>
      <c r="AN40" s="142">
        <f>IF(I38=M38,IF(J38=N38,29,0),0)</f>
        <v>29</v>
      </c>
      <c r="AO40" s="142">
        <f>IF(AF39=0,0,IF(ISBLANK(N38),0,20))</f>
        <v>0</v>
      </c>
      <c r="AP40" s="142">
        <f>IF(AF39=0,0,IF(ISBLANK(O38),0,20))</f>
        <v>0</v>
      </c>
      <c r="AQ40" s="142">
        <v>0</v>
      </c>
      <c r="AR40" s="142">
        <v>0</v>
      </c>
      <c r="AS40" s="102"/>
      <c r="AT40" s="100"/>
      <c r="AU40" s="99"/>
      <c r="AV40" s="71"/>
      <c r="AW40" s="71"/>
      <c r="AX40" s="71"/>
      <c r="AY40" s="71"/>
      <c r="AZ40" s="71">
        <v>41</v>
      </c>
      <c r="BA40" s="71">
        <v>40</v>
      </c>
      <c r="BB40" s="71"/>
      <c r="BC40" s="71"/>
      <c r="BD40" s="71"/>
      <c r="BE40" s="71"/>
      <c r="BF40" s="71"/>
      <c r="BG40" s="78"/>
      <c r="BH40" s="91"/>
      <c r="BI40" s="82"/>
      <c r="BJ40" s="82"/>
      <c r="BK40" s="78"/>
      <c r="BL40" s="91"/>
    </row>
    <row r="41" spans="1:75" ht="13.15" thickTop="1" x14ac:dyDescent="0.25">
      <c r="A41" s="211">
        <v>8</v>
      </c>
      <c r="B41" s="254"/>
      <c r="C41" s="254"/>
      <c r="D41" s="211" t="str">
        <f>PHONETIC(B41)&amp;" "&amp; PHONETIC(C41)</f>
        <v xml:space="preserve"> </v>
      </c>
      <c r="E41" s="43"/>
      <c r="F41" s="40"/>
      <c r="G41" s="37" t="str">
        <f>IF(ISBLANK(F41),"",IF(MONTH($AM$2)&gt;MONTH(F41),YEAR($AM$2)-YEAR(F41),IF(MONTH($AM$2)&lt;MONTH(F41),YEAR($AM$2)-YEAR(F41)-1,IF(DAY($AM$2)&gt;=DAY(F41),YEAR($AM$2)-YEAR(F41),YEAR($AM$2)-YEAR(F41)-1))))</f>
        <v/>
      </c>
      <c r="H41" s="42" t="str">
        <f>IF(S41&gt;0,VLOOKUP(S41,$BV$2:$BY$30,4),"-")</f>
        <v>-</v>
      </c>
      <c r="I41" s="256"/>
      <c r="J41" s="254"/>
      <c r="K41" s="235"/>
      <c r="L41" s="238" t="str">
        <f>IF(AF41&gt;0,VLOOKUP(AF41,$BV$2:$BY$30,4),"-")</f>
        <v>-</v>
      </c>
      <c r="M41" s="256"/>
      <c r="N41" s="254"/>
      <c r="O41" s="235"/>
      <c r="P41" s="238" t="str">
        <f>IF(AM41&gt;0,VLOOKUP(AM41,$BV$2:$BY$30,4),"-")</f>
        <v>-</v>
      </c>
      <c r="Q41" s="45"/>
      <c r="R41" s="45"/>
      <c r="S41" s="135">
        <f>IF(S42&gt;0,SMALL(T41:AD43,S43+1),0)</f>
        <v>0</v>
      </c>
      <c r="T41" s="94">
        <f>IF(ISBLANK(B41),0,IF(ISBLANK(E41),2,0))</f>
        <v>0</v>
      </c>
      <c r="U41" s="94">
        <f>IF(ISBLANK(B41),0,IF(ISBLANK(F41),3,0))</f>
        <v>0</v>
      </c>
      <c r="V41" s="94">
        <f>IF(ISBLANK(B41),0,IF(G41&lt;=17,4,0))</f>
        <v>0</v>
      </c>
      <c r="W41" s="94">
        <v>0</v>
      </c>
      <c r="X41" s="94">
        <v>0</v>
      </c>
      <c r="Y41" s="94">
        <v>0</v>
      </c>
      <c r="Z41" s="94">
        <v>0</v>
      </c>
      <c r="AA41" s="94">
        <v>0</v>
      </c>
      <c r="AB41" s="94">
        <v>0</v>
      </c>
      <c r="AC41" s="94">
        <v>0</v>
      </c>
      <c r="AD41" s="94">
        <v>0</v>
      </c>
      <c r="AE41" s="94"/>
      <c r="AF41" s="128">
        <f>IF(AF42&gt;0,SMALL(AG41:AK43,AF43+1),0)</f>
        <v>0</v>
      </c>
      <c r="AG41" s="98">
        <f>IF(ISBLANK(I41),10,0)</f>
        <v>10</v>
      </c>
      <c r="AH41" s="98">
        <f>IF(ISBLANK(J41),11,0)</f>
        <v>11</v>
      </c>
      <c r="AI41" s="98">
        <f>IF(ISBLANK(K41),13,0)</f>
        <v>13</v>
      </c>
      <c r="AJ41" s="98">
        <f>IF(ISNUMBER(K41),0,17)</f>
        <v>17</v>
      </c>
      <c r="AK41" s="97">
        <v>0</v>
      </c>
      <c r="AL41" s="98"/>
      <c r="AM41" s="138">
        <f>IF(AM42&gt;0,SMALL(AN41:AR43,AM43+1),0)</f>
        <v>0</v>
      </c>
      <c r="AN41" s="140">
        <f>IF(AF42=0,IF(ISBLANK(M41),IF(ISBLANK(N41),IF(ISBLANK(O41),0,21),21),0))</f>
        <v>0</v>
      </c>
      <c r="AO41" s="140">
        <f>IF(ISBLANK(M41),IF(ISBLANK(N41),0,22),IF(ISBLANK(N41),22,0))</f>
        <v>0</v>
      </c>
      <c r="AP41" s="140">
        <f>IF(ISBLANK(M41),0,IF(ISBLANK(O41),24,0))</f>
        <v>0</v>
      </c>
      <c r="AQ41" s="140">
        <f>IF(ISBLANK(O41),0,IF(ISNUMBER(O41),0,28))</f>
        <v>0</v>
      </c>
      <c r="AR41" s="140">
        <v>0</v>
      </c>
      <c r="AS41" s="98"/>
      <c r="AT41" s="96" t="e">
        <f>VLOOKUP(G41,$AZ$17:$BA$138,2)</f>
        <v>#N/A</v>
      </c>
      <c r="AU41" s="99"/>
      <c r="AV41" s="71"/>
      <c r="AW41" s="71"/>
      <c r="AX41" s="71"/>
      <c r="AY41" s="71"/>
      <c r="AZ41" s="71">
        <v>42</v>
      </c>
      <c r="BA41" s="71">
        <v>40</v>
      </c>
      <c r="BB41" s="71"/>
      <c r="BC41" s="71"/>
      <c r="BD41" s="71"/>
      <c r="BE41" s="71"/>
      <c r="BF41" s="71">
        <f>IF(E41="男",100,IF(E41="女",200,0))</f>
        <v>0</v>
      </c>
      <c r="BG41" s="78">
        <f>IF(I41="自由形",10,IF(I41="平泳ぎ",20,IF(I41="背泳ぎ",30,IF(I41="バタフライ",40,IF(I41="個人メドレー",50,0)))))</f>
        <v>0</v>
      </c>
      <c r="BH41" s="91">
        <f>IF(J41=25,1,IF(J41=50,2,IF(J41=100,3,0)))</f>
        <v>0</v>
      </c>
      <c r="BI41" s="82">
        <f>IF(M41="自由形",10,IF(M41="平泳ぎ",20,IF(M41="背泳ぎ",30,IF(M41="バタフライ",40,IF(M41="個人メドレー",50,0)))))</f>
        <v>0</v>
      </c>
      <c r="BJ41" s="82">
        <f>IF(N41=25,1,IF(N41=50,2,IF(N41=100,3,0)))</f>
        <v>0</v>
      </c>
      <c r="BK41" s="78">
        <f>BF41+BG41+BH41</f>
        <v>0</v>
      </c>
      <c r="BL41" s="91">
        <f>BF41+BI41+BJ41</f>
        <v>0</v>
      </c>
    </row>
    <row r="42" spans="1:75" x14ac:dyDescent="0.25">
      <c r="A42" s="212"/>
      <c r="B42" s="255"/>
      <c r="C42" s="279"/>
      <c r="D42" s="216"/>
      <c r="E42" s="44"/>
      <c r="F42" s="286"/>
      <c r="G42" s="242"/>
      <c r="H42" s="39"/>
      <c r="I42" s="257"/>
      <c r="J42" s="259"/>
      <c r="K42" s="236"/>
      <c r="L42" s="239"/>
      <c r="M42" s="257"/>
      <c r="N42" s="259"/>
      <c r="O42" s="236"/>
      <c r="P42" s="239"/>
      <c r="Q42" s="45"/>
      <c r="R42" s="45"/>
      <c r="S42" s="135">
        <f>IF(ISBLANK(B41),0,COUNTIF(T41:AD43,"&gt;0"))</f>
        <v>0</v>
      </c>
      <c r="T42" s="94">
        <f>IF(ISBLANK(B41),0,IF(ISBLANK(E42),5,0))</f>
        <v>0</v>
      </c>
      <c r="U42" s="94">
        <f>IF(ISBLANK(B41),0,IF(ISBLANK(F42),6,0))</f>
        <v>0</v>
      </c>
      <c r="V42" s="94">
        <f>IF(ISBLANK(B41),0,IF(ISBLANK(H42),7,0))</f>
        <v>0</v>
      </c>
      <c r="W42" s="94">
        <v>0</v>
      </c>
      <c r="X42" s="94">
        <v>0</v>
      </c>
      <c r="Y42" s="94">
        <f>IF(ISBLANK(B38),IF(ISBLANK(B41),0,1),0)</f>
        <v>0</v>
      </c>
      <c r="Z42" s="94">
        <v>0</v>
      </c>
      <c r="AA42" s="94">
        <v>0</v>
      </c>
      <c r="AB42" s="94">
        <v>0</v>
      </c>
      <c r="AC42" s="94">
        <v>0</v>
      </c>
      <c r="AD42" s="94">
        <v>0</v>
      </c>
      <c r="AE42" s="94"/>
      <c r="AF42" s="128">
        <f>IF(ISBLANK(B41),0,COUNTIF(AG41:AK43,"&gt;0"))</f>
        <v>0</v>
      </c>
      <c r="AG42" s="98">
        <f>IF(I41="個人メドレー",IF(J41&lt;&gt;100,12,0),0)</f>
        <v>0</v>
      </c>
      <c r="AH42" s="98">
        <f>IF(J41=25,IF(K41&lt;1000,14,0),0)</f>
        <v>0</v>
      </c>
      <c r="AI42" s="98">
        <f>IF(J41=50,IF(K41&lt;2000,15,0),0)</f>
        <v>0</v>
      </c>
      <c r="AJ42" s="98">
        <f>IF(J41=100,IF(K41&lt;4500,16,0),0)</f>
        <v>0</v>
      </c>
      <c r="AK42" s="97">
        <v>0</v>
      </c>
      <c r="AL42" s="98"/>
      <c r="AM42" s="138">
        <f>IF(ISBLANK(B41),0,IF(AF42=0,COUNTIF(AN41:AR43,"&gt;0"),COUNTIF(AN43:AP43,"&gt;0")))</f>
        <v>0</v>
      </c>
      <c r="AN42" s="140">
        <f>IF(M41="個人メドレー",IF(N41&lt;&gt;100,23,0),0)</f>
        <v>0</v>
      </c>
      <c r="AO42" s="140">
        <f>IF(N41=25,IF(O41&lt;1000,25,0),0)</f>
        <v>0</v>
      </c>
      <c r="AP42" s="140">
        <f>IF(N41=50,IF(O41&lt;2000,26,0),0)</f>
        <v>0</v>
      </c>
      <c r="AQ42" s="140">
        <f>IF(N41=100,IF(O41&lt;4500,27,0),0)</f>
        <v>0</v>
      </c>
      <c r="AR42" s="140">
        <v>0</v>
      </c>
      <c r="AS42" s="98"/>
      <c r="AT42" s="96"/>
      <c r="AU42" s="99"/>
      <c r="AV42" s="71"/>
      <c r="AW42" s="71"/>
      <c r="AX42" s="71"/>
      <c r="AY42" s="71"/>
      <c r="AZ42" s="71">
        <v>43</v>
      </c>
      <c r="BA42" s="71">
        <v>40</v>
      </c>
      <c r="BB42" s="71"/>
      <c r="BC42" s="71"/>
      <c r="BD42" s="71"/>
      <c r="BE42" s="71"/>
      <c r="BF42" s="71"/>
      <c r="BG42" s="78"/>
      <c r="BH42" s="91"/>
      <c r="BI42" s="82"/>
      <c r="BJ42" s="82"/>
      <c r="BK42" s="78"/>
      <c r="BL42" s="91"/>
    </row>
    <row r="43" spans="1:75" ht="13.15" thickBot="1" x14ac:dyDescent="0.3">
      <c r="A43" s="213"/>
      <c r="B43" s="280"/>
      <c r="C43" s="281"/>
      <c r="D43" s="282"/>
      <c r="E43" s="283"/>
      <c r="F43" s="284"/>
      <c r="G43" s="285"/>
      <c r="H43" s="41"/>
      <c r="I43" s="258"/>
      <c r="J43" s="260"/>
      <c r="K43" s="237"/>
      <c r="L43" s="240"/>
      <c r="M43" s="258"/>
      <c r="N43" s="260"/>
      <c r="O43" s="237"/>
      <c r="P43" s="240"/>
      <c r="Q43" s="46"/>
      <c r="R43" s="47"/>
      <c r="S43" s="136">
        <f>COUNTIF(T41:AD43,"=0")</f>
        <v>31</v>
      </c>
      <c r="T43" s="98">
        <f>IF(COUNTIF(F42,"*区*")=0,IF(ISBLANK(B43),8,0),0)</f>
        <v>8</v>
      </c>
      <c r="U43" s="98">
        <f>IF(COUNTIF(F42,"*区*")=0,IF(ISBLANK(E43),9,0),0)</f>
        <v>9</v>
      </c>
      <c r="V43" s="98">
        <v>0</v>
      </c>
      <c r="W43" s="98">
        <v>0</v>
      </c>
      <c r="X43" s="98">
        <v>0</v>
      </c>
      <c r="Y43" s="98">
        <v>0</v>
      </c>
      <c r="Z43" s="94">
        <v>0</v>
      </c>
      <c r="AA43" s="94">
        <v>0</v>
      </c>
      <c r="AB43" s="94">
        <v>0</v>
      </c>
      <c r="AC43" s="94">
        <v>0</v>
      </c>
      <c r="AD43" s="94">
        <v>0</v>
      </c>
      <c r="AE43" s="94"/>
      <c r="AF43" s="128">
        <f>COUNTIF(AG41:AK43,"=0")</f>
        <v>11</v>
      </c>
      <c r="AG43" s="98">
        <v>0</v>
      </c>
      <c r="AH43" s="98">
        <v>0</v>
      </c>
      <c r="AI43" s="98">
        <v>0</v>
      </c>
      <c r="AJ43" s="98">
        <v>0</v>
      </c>
      <c r="AK43" s="97">
        <v>0</v>
      </c>
      <c r="AL43" s="98"/>
      <c r="AM43" s="138">
        <f>COUNTIF(AN41:AR43,"=0")</f>
        <v>14</v>
      </c>
      <c r="AN43" s="140">
        <f>IF(I41=M41,IF(J41=N41,29,0),0)</f>
        <v>29</v>
      </c>
      <c r="AO43" s="140">
        <f>IF(AF42=0,0,IF(ISBLANK(N41),0,20))</f>
        <v>0</v>
      </c>
      <c r="AP43" s="140">
        <f>IF(AF42=0,0,IF(ISBLANK(O41),0,20))</f>
        <v>0</v>
      </c>
      <c r="AQ43" s="140">
        <v>0</v>
      </c>
      <c r="AR43" s="140">
        <v>0</v>
      </c>
      <c r="AS43" s="98"/>
      <c r="AT43" s="96"/>
      <c r="AU43" s="99"/>
      <c r="AV43" s="71"/>
      <c r="AW43" s="71"/>
      <c r="AX43" s="71"/>
      <c r="AY43" s="71"/>
      <c r="AZ43" s="71">
        <v>44</v>
      </c>
      <c r="BA43" s="71">
        <v>40</v>
      </c>
      <c r="BB43" s="71"/>
      <c r="BC43" s="71"/>
      <c r="BD43" s="71"/>
      <c r="BE43" s="71"/>
      <c r="BF43" s="71"/>
      <c r="BG43" s="78"/>
      <c r="BH43" s="91"/>
      <c r="BI43" s="82"/>
      <c r="BJ43" s="82"/>
      <c r="BK43" s="78"/>
      <c r="BL43" s="91"/>
    </row>
    <row r="44" spans="1:75" ht="13.15" thickTop="1" x14ac:dyDescent="0.25">
      <c r="A44" s="274">
        <v>9</v>
      </c>
      <c r="B44" s="261"/>
      <c r="C44" s="261"/>
      <c r="D44" s="274" t="str">
        <f>PHONETIC(B44)&amp;" "&amp; PHONETIC(C44)</f>
        <v xml:space="preserve"> </v>
      </c>
      <c r="E44" s="48"/>
      <c r="F44" s="49"/>
      <c r="G44" s="38" t="str">
        <f>IF(ISBLANK(F44),"",IF(MONTH($AM$2)&gt;MONTH(F44),YEAR($AM$2)-YEAR(F44),IF(MONTH($AM$2)&lt;MONTH(F44),YEAR($AM$2)-YEAR(F44)-1,IF(DAY($AM$2)&gt;=DAY(F44),YEAR($AM$2)-YEAR(F44),YEAR($AM$2)-YEAR(F44)-1))))</f>
        <v/>
      </c>
      <c r="H44" s="50" t="str">
        <f>IF(S44&gt;0,VLOOKUP(S44,$BV$2:$BY$30,4),"-")</f>
        <v>-</v>
      </c>
      <c r="I44" s="269"/>
      <c r="J44" s="261"/>
      <c r="K44" s="264"/>
      <c r="L44" s="243" t="str">
        <f>IF(AF44&gt;0,VLOOKUP(AF44,$BV$2:$BY$30,4),"-")</f>
        <v>-</v>
      </c>
      <c r="M44" s="269"/>
      <c r="N44" s="261"/>
      <c r="O44" s="264"/>
      <c r="P44" s="243" t="str">
        <f>IF(AM44&gt;0,VLOOKUP(AM44,$BV$2:$BY$30,4),"-")</f>
        <v>-</v>
      </c>
      <c r="Q44" s="51"/>
      <c r="R44" s="51"/>
      <c r="S44" s="137">
        <f>IF(S45&gt;0,SMALL(T44:AD46,S46+1),0)</f>
        <v>0</v>
      </c>
      <c r="T44" s="95">
        <f>IF(ISBLANK(B44),0,IF(ISBLANK(E44),2,0))</f>
        <v>0</v>
      </c>
      <c r="U44" s="95">
        <f>IF(ISBLANK(B44),0,IF(ISBLANK(F44),3,0))</f>
        <v>0</v>
      </c>
      <c r="V44" s="95">
        <f>IF(ISBLANK(B44),0,IF(G44&lt;=17,4,0))</f>
        <v>0</v>
      </c>
      <c r="W44" s="95">
        <v>0</v>
      </c>
      <c r="X44" s="95">
        <v>0</v>
      </c>
      <c r="Y44" s="94">
        <v>0</v>
      </c>
      <c r="Z44" s="95">
        <v>0</v>
      </c>
      <c r="AA44" s="95">
        <v>0</v>
      </c>
      <c r="AB44" s="95">
        <v>0</v>
      </c>
      <c r="AC44" s="95">
        <v>0</v>
      </c>
      <c r="AD44" s="95">
        <v>0</v>
      </c>
      <c r="AE44" s="95"/>
      <c r="AF44" s="127">
        <f>IF(AF45&gt;0,SMALL(AG44:AK46,AF46+1),0)</f>
        <v>0</v>
      </c>
      <c r="AG44" s="102">
        <f>IF(ISBLANK(I44),10,0)</f>
        <v>10</v>
      </c>
      <c r="AH44" s="102">
        <f>IF(ISBLANK(J44),11,0)</f>
        <v>11</v>
      </c>
      <c r="AI44" s="102">
        <f>IF(ISBLANK(K44),13,0)</f>
        <v>13</v>
      </c>
      <c r="AJ44" s="102">
        <f>IF(ISNUMBER(K44),0,17)</f>
        <v>17</v>
      </c>
      <c r="AK44" s="101">
        <v>0</v>
      </c>
      <c r="AL44" s="102"/>
      <c r="AM44" s="141">
        <f>IF(AM45&gt;0,SMALL(AN44:AR46,AM46+1),0)</f>
        <v>0</v>
      </c>
      <c r="AN44" s="142">
        <f>IF(AF45=0,IF(ISBLANK(M44),IF(ISBLANK(N44),IF(ISBLANK(O44),0,21),21),0))</f>
        <v>0</v>
      </c>
      <c r="AO44" s="142">
        <f>IF(ISBLANK(M44),IF(ISBLANK(N44),0,22),IF(ISBLANK(N44),22,0))</f>
        <v>0</v>
      </c>
      <c r="AP44" s="142">
        <f>IF(ISBLANK(M44),0,IF(ISBLANK(O44),24,0))</f>
        <v>0</v>
      </c>
      <c r="AQ44" s="142">
        <f>IF(ISBLANK(O44),0,IF(ISNUMBER(O44),0,28))</f>
        <v>0</v>
      </c>
      <c r="AR44" s="142">
        <v>0</v>
      </c>
      <c r="AS44" s="102"/>
      <c r="AT44" s="100" t="e">
        <f>VLOOKUP(G44,$AZ$17:$BA$138,2)</f>
        <v>#N/A</v>
      </c>
      <c r="AU44" s="99"/>
      <c r="AV44" s="71"/>
      <c r="AW44" s="71"/>
      <c r="AX44" s="71"/>
      <c r="AY44" s="71"/>
      <c r="AZ44" s="71">
        <v>45</v>
      </c>
      <c r="BA44" s="71">
        <v>40</v>
      </c>
      <c r="BB44" s="71"/>
      <c r="BC44" s="71"/>
      <c r="BD44" s="71"/>
      <c r="BE44" s="71"/>
      <c r="BF44" s="71">
        <f>IF(E44="男",100,IF(E44="女",200,0))</f>
        <v>0</v>
      </c>
      <c r="BG44" s="78">
        <f>IF(I44="自由形",10,IF(I44="平泳ぎ",20,IF(I44="背泳ぎ",30,IF(I44="バタフライ",40,IF(I44="個人メドレー",50,0)))))</f>
        <v>0</v>
      </c>
      <c r="BH44" s="91">
        <f>IF(J44=25,1,IF(J44=50,2,IF(J44=100,3,0)))</f>
        <v>0</v>
      </c>
      <c r="BI44" s="82">
        <f>IF(M44="自由形",10,IF(M44="平泳ぎ",20,IF(M44="背泳ぎ",30,IF(M44="バタフライ",40,IF(M44="個人メドレー",50,0)))))</f>
        <v>0</v>
      </c>
      <c r="BJ44" s="82">
        <f>IF(N44=25,1,IF(N44=50,2,IF(N44=100,3,0)))</f>
        <v>0</v>
      </c>
      <c r="BK44" s="78">
        <f>BF44+BG44+BH44</f>
        <v>0</v>
      </c>
      <c r="BL44" s="91">
        <f>BF44+BI44+BJ44</f>
        <v>0</v>
      </c>
    </row>
    <row r="45" spans="1:75" x14ac:dyDescent="0.25">
      <c r="A45" s="275"/>
      <c r="B45" s="277"/>
      <c r="C45" s="279"/>
      <c r="D45" s="278"/>
      <c r="E45" s="54"/>
      <c r="F45" s="287"/>
      <c r="G45" s="247"/>
      <c r="H45" s="55"/>
      <c r="I45" s="270"/>
      <c r="J45" s="262"/>
      <c r="K45" s="265"/>
      <c r="L45" s="244"/>
      <c r="M45" s="270"/>
      <c r="N45" s="262"/>
      <c r="O45" s="265"/>
      <c r="P45" s="244"/>
      <c r="Q45" s="51"/>
      <c r="R45" s="51"/>
      <c r="S45" s="137">
        <f>IF(ISBLANK(B44),0,COUNTIF(T44:AD46,"&gt;0"))</f>
        <v>0</v>
      </c>
      <c r="T45" s="95">
        <f>IF(ISBLANK(B44),0,IF(ISBLANK(E45),5,0))</f>
        <v>0</v>
      </c>
      <c r="U45" s="95">
        <f>IF(ISBLANK(B44),0,IF(ISBLANK(F45),6,0))</f>
        <v>0</v>
      </c>
      <c r="V45" s="95">
        <f>IF(ISBLANK(B44),0,IF(ISBLANK(H45),7,0))</f>
        <v>0</v>
      </c>
      <c r="W45" s="95">
        <v>0</v>
      </c>
      <c r="X45" s="95">
        <v>0</v>
      </c>
      <c r="Y45" s="95">
        <f>IF(ISBLANK(B41),IF(ISBLANK(B44),0,1),0)</f>
        <v>0</v>
      </c>
      <c r="Z45" s="95">
        <v>0</v>
      </c>
      <c r="AA45" s="95">
        <v>0</v>
      </c>
      <c r="AB45" s="95">
        <v>0</v>
      </c>
      <c r="AC45" s="95">
        <v>0</v>
      </c>
      <c r="AD45" s="95">
        <v>0</v>
      </c>
      <c r="AE45" s="95"/>
      <c r="AF45" s="127">
        <f>IF(ISBLANK(B44),0,COUNTIF(AG44:AK46,"&gt;0"))</f>
        <v>0</v>
      </c>
      <c r="AG45" s="102">
        <f>IF(I44="個人メドレー",IF(J44&lt;&gt;100,12,0),0)</f>
        <v>0</v>
      </c>
      <c r="AH45" s="102">
        <f>IF(J44=25,IF(K44&lt;1000,14,0),0)</f>
        <v>0</v>
      </c>
      <c r="AI45" s="102">
        <f>IF(J44=50,IF(K44&lt;2000,15,0),0)</f>
        <v>0</v>
      </c>
      <c r="AJ45" s="102">
        <f>IF(J44=100,IF(K44&lt;4500,16,0),0)</f>
        <v>0</v>
      </c>
      <c r="AK45" s="101">
        <v>0</v>
      </c>
      <c r="AL45" s="102"/>
      <c r="AM45" s="141">
        <f>IF(ISBLANK(B44),0,IF(AF45=0,COUNTIF(AN44:AR46,"&gt;0"),COUNTIF(AN46:AP46,"&gt;0")))</f>
        <v>0</v>
      </c>
      <c r="AN45" s="142">
        <f>IF(M44="個人メドレー",IF(N44&lt;&gt;100,23,0),0)</f>
        <v>0</v>
      </c>
      <c r="AO45" s="142">
        <f>IF(N44=25,IF(O44&lt;1000,25,0),0)</f>
        <v>0</v>
      </c>
      <c r="AP45" s="142">
        <f>IF(N44=50,IF(O44&lt;2000,26,0),0)</f>
        <v>0</v>
      </c>
      <c r="AQ45" s="142">
        <f>IF(N44=100,IF(O44&lt;4500,27,0),0)</f>
        <v>0</v>
      </c>
      <c r="AR45" s="142">
        <v>0</v>
      </c>
      <c r="AS45" s="102"/>
      <c r="AT45" s="100"/>
      <c r="AU45" s="99"/>
      <c r="AV45" s="71"/>
      <c r="AW45" s="71"/>
      <c r="AX45" s="71"/>
      <c r="AY45" s="71"/>
      <c r="AZ45" s="71">
        <v>46</v>
      </c>
      <c r="BA45" s="71">
        <v>40</v>
      </c>
      <c r="BB45" s="71"/>
      <c r="BC45" s="71"/>
      <c r="BD45" s="71"/>
      <c r="BE45" s="71"/>
      <c r="BF45" s="71"/>
      <c r="BG45" s="78"/>
      <c r="BH45" s="91"/>
      <c r="BI45" s="82"/>
      <c r="BJ45" s="82"/>
      <c r="BK45" s="78"/>
      <c r="BL45" s="91"/>
    </row>
    <row r="46" spans="1:75" ht="13.15" thickBot="1" x14ac:dyDescent="0.3">
      <c r="A46" s="276"/>
      <c r="B46" s="248"/>
      <c r="C46" s="249"/>
      <c r="D46" s="250"/>
      <c r="E46" s="251"/>
      <c r="F46" s="252"/>
      <c r="G46" s="253"/>
      <c r="H46" s="56"/>
      <c r="I46" s="271"/>
      <c r="J46" s="263"/>
      <c r="K46" s="266"/>
      <c r="L46" s="245"/>
      <c r="M46" s="271"/>
      <c r="N46" s="263"/>
      <c r="O46" s="266"/>
      <c r="P46" s="245"/>
      <c r="Q46" s="52"/>
      <c r="R46" s="53"/>
      <c r="S46" s="132">
        <f>COUNTIF(T44:AD46,"=0")</f>
        <v>31</v>
      </c>
      <c r="T46" s="102">
        <f>IF(COUNTIF(F45,"*区*")=0,IF(ISBLANK(B46),8,0),0)</f>
        <v>8</v>
      </c>
      <c r="U46" s="102">
        <f>IF(COUNTIF(F45,"*区*")=0,IF(ISBLANK(E46),9,0),0)</f>
        <v>9</v>
      </c>
      <c r="V46" s="102">
        <v>0</v>
      </c>
      <c r="W46" s="102">
        <v>0</v>
      </c>
      <c r="X46" s="102">
        <v>0</v>
      </c>
      <c r="Y46" s="102">
        <v>0</v>
      </c>
      <c r="Z46" s="95">
        <v>0</v>
      </c>
      <c r="AA46" s="95">
        <v>0</v>
      </c>
      <c r="AB46" s="95">
        <v>0</v>
      </c>
      <c r="AC46" s="95">
        <v>0</v>
      </c>
      <c r="AD46" s="95">
        <v>0</v>
      </c>
      <c r="AE46" s="95"/>
      <c r="AF46" s="127">
        <f>COUNTIF(AG44:AK46,"=0")</f>
        <v>11</v>
      </c>
      <c r="AG46" s="102">
        <v>0</v>
      </c>
      <c r="AH46" s="102">
        <v>0</v>
      </c>
      <c r="AI46" s="102">
        <v>0</v>
      </c>
      <c r="AJ46" s="102">
        <v>0</v>
      </c>
      <c r="AK46" s="101">
        <v>0</v>
      </c>
      <c r="AL46" s="102"/>
      <c r="AM46" s="141">
        <f>COUNTIF(AN44:AR46,"=0")</f>
        <v>14</v>
      </c>
      <c r="AN46" s="142">
        <f>IF(I44=M44,IF(J44=N44,29,0),0)</f>
        <v>29</v>
      </c>
      <c r="AO46" s="142">
        <f>IF(AF45=0,0,IF(ISBLANK(N44),0,20))</f>
        <v>0</v>
      </c>
      <c r="AP46" s="142">
        <f>IF(AF45=0,0,IF(ISBLANK(O44),0,20))</f>
        <v>0</v>
      </c>
      <c r="AQ46" s="142">
        <v>0</v>
      </c>
      <c r="AR46" s="142">
        <v>0</v>
      </c>
      <c r="AS46" s="102"/>
      <c r="AT46" s="100"/>
      <c r="AU46" s="99"/>
      <c r="AV46" s="71"/>
      <c r="AW46" s="71"/>
      <c r="AX46" s="71"/>
      <c r="AY46" s="71"/>
      <c r="AZ46" s="71">
        <v>47</v>
      </c>
      <c r="BA46" s="71">
        <v>40</v>
      </c>
      <c r="BB46" s="71"/>
      <c r="BC46" s="71"/>
      <c r="BD46" s="71"/>
      <c r="BE46" s="71"/>
      <c r="BF46" s="71"/>
      <c r="BG46" s="78"/>
      <c r="BH46" s="91"/>
      <c r="BI46" s="82"/>
      <c r="BJ46" s="82"/>
      <c r="BK46" s="78"/>
      <c r="BL46" s="91"/>
    </row>
    <row r="47" spans="1:75" ht="13.15" thickTop="1" x14ac:dyDescent="0.25">
      <c r="A47" s="211">
        <v>10</v>
      </c>
      <c r="B47" s="254"/>
      <c r="C47" s="254"/>
      <c r="D47" s="211" t="str">
        <f>PHONETIC(B47)&amp;" "&amp; PHONETIC(C47)</f>
        <v xml:space="preserve"> </v>
      </c>
      <c r="E47" s="43"/>
      <c r="F47" s="40"/>
      <c r="G47" s="37" t="str">
        <f>IF(ISBLANK(F47),"",IF(MONTH($AM$2)&gt;MONTH(F47),YEAR($AM$2)-YEAR(F47),IF(MONTH($AM$2)&lt;MONTH(F47),YEAR($AM$2)-YEAR(F47)-1,IF(DAY($AM$2)&gt;=DAY(F47),YEAR($AM$2)-YEAR(F47),YEAR($AM$2)-YEAR(F47)-1))))</f>
        <v/>
      </c>
      <c r="H47" s="42" t="str">
        <f>IF(S47&gt;0,VLOOKUP(S47,$BV$2:$BY$30,4),"-")</f>
        <v>-</v>
      </c>
      <c r="I47" s="256"/>
      <c r="J47" s="254"/>
      <c r="K47" s="235"/>
      <c r="L47" s="238" t="str">
        <f>IF(AF47&gt;0,VLOOKUP(AF47,$BV$2:$BY$30,4),"-")</f>
        <v>-</v>
      </c>
      <c r="M47" s="256"/>
      <c r="N47" s="254"/>
      <c r="O47" s="235"/>
      <c r="P47" s="238" t="str">
        <f>IF(AM47&gt;0,VLOOKUP(AM47,$BV$2:$BY$30,4),"-")</f>
        <v>-</v>
      </c>
      <c r="Q47" s="45"/>
      <c r="R47" s="45"/>
      <c r="S47" s="135">
        <f>IF(S48&gt;0,SMALL(T47:AD49,S49+1),0)</f>
        <v>0</v>
      </c>
      <c r="T47" s="94">
        <f>IF(ISBLANK(B47),0,IF(ISBLANK(E47),2,0))</f>
        <v>0</v>
      </c>
      <c r="U47" s="94">
        <f>IF(ISBLANK(B47),0,IF(ISBLANK(F47),3,0))</f>
        <v>0</v>
      </c>
      <c r="V47" s="94">
        <f>IF(ISBLANK(B47),0,IF(G47&lt;=17,4,0))</f>
        <v>0</v>
      </c>
      <c r="W47" s="94">
        <v>0</v>
      </c>
      <c r="X47" s="94">
        <v>0</v>
      </c>
      <c r="Y47" s="94">
        <v>0</v>
      </c>
      <c r="Z47" s="94">
        <v>0</v>
      </c>
      <c r="AA47" s="94">
        <v>0</v>
      </c>
      <c r="AB47" s="94">
        <v>0</v>
      </c>
      <c r="AC47" s="94">
        <v>0</v>
      </c>
      <c r="AD47" s="94">
        <v>0</v>
      </c>
      <c r="AE47" s="94"/>
      <c r="AF47" s="128">
        <f>IF(AF48&gt;0,SMALL(AG47:AK49,AF49+1),0)</f>
        <v>0</v>
      </c>
      <c r="AG47" s="98">
        <f>IF(ISBLANK(I47),10,0)</f>
        <v>10</v>
      </c>
      <c r="AH47" s="98">
        <f>IF(ISBLANK(J47),11,0)</f>
        <v>11</v>
      </c>
      <c r="AI47" s="98">
        <f>IF(ISBLANK(K47),13,0)</f>
        <v>13</v>
      </c>
      <c r="AJ47" s="98">
        <f>IF(ISNUMBER(K47),0,17)</f>
        <v>17</v>
      </c>
      <c r="AK47" s="97">
        <v>0</v>
      </c>
      <c r="AL47" s="98"/>
      <c r="AM47" s="138">
        <f>IF(AM48&gt;0,SMALL(AN47:AR49,AM49+1),0)</f>
        <v>0</v>
      </c>
      <c r="AN47" s="140">
        <f>IF(AF48=0,IF(ISBLANK(M47),IF(ISBLANK(N47),IF(ISBLANK(O47),0,21),21),0))</f>
        <v>0</v>
      </c>
      <c r="AO47" s="140">
        <f>IF(ISBLANK(M47),IF(ISBLANK(N47),0,22),IF(ISBLANK(N47),22,0))</f>
        <v>0</v>
      </c>
      <c r="AP47" s="140">
        <f>IF(ISBLANK(M47),0,IF(ISBLANK(O47),24,0))</f>
        <v>0</v>
      </c>
      <c r="AQ47" s="140">
        <f>IF(ISBLANK(O47),0,IF(ISNUMBER(O47),0,28))</f>
        <v>0</v>
      </c>
      <c r="AR47" s="140">
        <v>0</v>
      </c>
      <c r="AS47" s="98"/>
      <c r="AT47" s="96" t="e">
        <f>VLOOKUP(G47,$AZ$17:$BA$138,2)</f>
        <v>#N/A</v>
      </c>
      <c r="AU47" s="99"/>
      <c r="AV47" s="71"/>
      <c r="AW47" s="71"/>
      <c r="AX47" s="71"/>
      <c r="AY47" s="71"/>
      <c r="AZ47" s="71">
        <v>48</v>
      </c>
      <c r="BA47" s="71">
        <v>40</v>
      </c>
      <c r="BB47" s="71"/>
      <c r="BC47" s="71"/>
      <c r="BD47" s="71"/>
      <c r="BE47" s="71"/>
      <c r="BF47" s="71">
        <f>IF(E47="男",100,IF(E47="女",200,0))</f>
        <v>0</v>
      </c>
      <c r="BG47" s="78">
        <f>IF(I47="自由形",10,IF(I47="平泳ぎ",20,IF(I47="背泳ぎ",30,IF(I47="バタフライ",40,IF(I47="個人メドレー",50,0)))))</f>
        <v>0</v>
      </c>
      <c r="BH47" s="91">
        <f>IF(J47=25,1,IF(J47=50,2,IF(J47=100,3,0)))</f>
        <v>0</v>
      </c>
      <c r="BI47" s="82">
        <f>IF(M47="自由形",10,IF(M47="平泳ぎ",20,IF(M47="背泳ぎ",30,IF(M47="バタフライ",40,IF(M47="個人メドレー",50,0)))))</f>
        <v>0</v>
      </c>
      <c r="BJ47" s="82">
        <f>IF(N47=25,1,IF(N47=50,2,IF(N47=100,3,0)))</f>
        <v>0</v>
      </c>
      <c r="BK47" s="78">
        <f>BF47+BG47+BH47</f>
        <v>0</v>
      </c>
      <c r="BL47" s="91">
        <f>BF47+BI47+BJ47</f>
        <v>0</v>
      </c>
    </row>
    <row r="48" spans="1:75" x14ac:dyDescent="0.25">
      <c r="A48" s="212"/>
      <c r="B48" s="255"/>
      <c r="C48" s="279"/>
      <c r="D48" s="216"/>
      <c r="E48" s="44"/>
      <c r="F48" s="286"/>
      <c r="G48" s="242"/>
      <c r="H48" s="39"/>
      <c r="I48" s="257"/>
      <c r="J48" s="259"/>
      <c r="K48" s="236"/>
      <c r="L48" s="239"/>
      <c r="M48" s="257"/>
      <c r="N48" s="259"/>
      <c r="O48" s="236"/>
      <c r="P48" s="239"/>
      <c r="Q48" s="45"/>
      <c r="R48" s="45"/>
      <c r="S48" s="135">
        <f>IF(ISBLANK(B47),0,COUNTIF(T47:AD49,"&gt;0"))</f>
        <v>0</v>
      </c>
      <c r="T48" s="94">
        <f>IF(ISBLANK(B47),0,IF(ISBLANK(E48),5,0))</f>
        <v>0</v>
      </c>
      <c r="U48" s="94">
        <f>IF(ISBLANK(B47),0,IF(ISBLANK(F48),6,0))</f>
        <v>0</v>
      </c>
      <c r="V48" s="94">
        <f>IF(ISBLANK(B47),0,IF(ISBLANK(H48),7,0))</f>
        <v>0</v>
      </c>
      <c r="W48" s="94">
        <v>0</v>
      </c>
      <c r="X48" s="94">
        <v>0</v>
      </c>
      <c r="Y48" s="94">
        <f>IF(ISBLANK(B44),IF(ISBLANK(B47),0,1),0)</f>
        <v>0</v>
      </c>
      <c r="Z48" s="94">
        <v>0</v>
      </c>
      <c r="AA48" s="94">
        <v>0</v>
      </c>
      <c r="AB48" s="94">
        <v>0</v>
      </c>
      <c r="AC48" s="94">
        <v>0</v>
      </c>
      <c r="AD48" s="94">
        <v>0</v>
      </c>
      <c r="AE48" s="94"/>
      <c r="AF48" s="128">
        <f>IF(ISBLANK(B47),0,COUNTIF(AG47:AK49,"&gt;0"))</f>
        <v>0</v>
      </c>
      <c r="AG48" s="98">
        <f>IF(I47="個人メドレー",IF(J47&lt;&gt;100,12,0),0)</f>
        <v>0</v>
      </c>
      <c r="AH48" s="98">
        <f>IF(J47=25,IF(K47&lt;1000,14,0),0)</f>
        <v>0</v>
      </c>
      <c r="AI48" s="98">
        <f>IF(J47=50,IF(K47&lt;2000,15,0),0)</f>
        <v>0</v>
      </c>
      <c r="AJ48" s="98">
        <f>IF(J47=100,IF(K47&lt;4500,16,0),0)</f>
        <v>0</v>
      </c>
      <c r="AK48" s="97">
        <v>0</v>
      </c>
      <c r="AL48" s="98"/>
      <c r="AM48" s="138">
        <f>IF(ISBLANK(B47),0,IF(AF48=0,COUNTIF(AN47:AR49,"&gt;0"),COUNTIF(AN49:AP49,"&gt;0")))</f>
        <v>0</v>
      </c>
      <c r="AN48" s="140">
        <f>IF(M47="個人メドレー",IF(N47&lt;&gt;100,23,0),0)</f>
        <v>0</v>
      </c>
      <c r="AO48" s="140">
        <f>IF(N47=25,IF(O47&lt;1000,25,0),0)</f>
        <v>0</v>
      </c>
      <c r="AP48" s="140">
        <f>IF(N47=50,IF(O47&lt;2000,26,0),0)</f>
        <v>0</v>
      </c>
      <c r="AQ48" s="140">
        <f>IF(N47=100,IF(O47&lt;4500,27,0),0)</f>
        <v>0</v>
      </c>
      <c r="AR48" s="140">
        <v>0</v>
      </c>
      <c r="AS48" s="98"/>
      <c r="AT48" s="96"/>
      <c r="AU48" s="99"/>
      <c r="AV48" s="71"/>
      <c r="AW48" s="71"/>
      <c r="AX48" s="71"/>
      <c r="AY48" s="71"/>
      <c r="AZ48" s="71">
        <v>49</v>
      </c>
      <c r="BA48" s="71">
        <v>40</v>
      </c>
      <c r="BB48" s="71"/>
      <c r="BC48" s="71"/>
      <c r="BD48" s="71"/>
      <c r="BE48" s="71"/>
      <c r="BF48" s="71"/>
      <c r="BG48" s="78"/>
      <c r="BH48" s="91"/>
      <c r="BI48" s="82"/>
      <c r="BJ48" s="82"/>
      <c r="BK48" s="78"/>
      <c r="BL48" s="91"/>
    </row>
    <row r="49" spans="1:64" ht="13.15" thickBot="1" x14ac:dyDescent="0.3">
      <c r="A49" s="213"/>
      <c r="B49" s="280"/>
      <c r="C49" s="281"/>
      <c r="D49" s="282"/>
      <c r="E49" s="283"/>
      <c r="F49" s="284"/>
      <c r="G49" s="285"/>
      <c r="H49" s="41"/>
      <c r="I49" s="258"/>
      <c r="J49" s="260"/>
      <c r="K49" s="237"/>
      <c r="L49" s="240"/>
      <c r="M49" s="258"/>
      <c r="N49" s="260"/>
      <c r="O49" s="237"/>
      <c r="P49" s="240"/>
      <c r="Q49" s="46"/>
      <c r="R49" s="47"/>
      <c r="S49" s="136">
        <f>COUNTIF(T47:AD49,"=0")</f>
        <v>31</v>
      </c>
      <c r="T49" s="98">
        <f>IF(COUNTIF(F48,"*区*")=0,IF(ISBLANK(B49),8,0),0)</f>
        <v>8</v>
      </c>
      <c r="U49" s="98">
        <f>IF(COUNTIF(F48,"*区*")=0,IF(ISBLANK(E49),9,0),0)</f>
        <v>9</v>
      </c>
      <c r="V49" s="98">
        <v>0</v>
      </c>
      <c r="W49" s="98">
        <v>0</v>
      </c>
      <c r="X49" s="98">
        <v>0</v>
      </c>
      <c r="Y49" s="98">
        <v>0</v>
      </c>
      <c r="Z49" s="94">
        <v>0</v>
      </c>
      <c r="AA49" s="94">
        <v>0</v>
      </c>
      <c r="AB49" s="94">
        <v>0</v>
      </c>
      <c r="AC49" s="94">
        <v>0</v>
      </c>
      <c r="AD49" s="94">
        <v>0</v>
      </c>
      <c r="AE49" s="94"/>
      <c r="AF49" s="128">
        <f>COUNTIF(AG47:AK49,"=0")</f>
        <v>11</v>
      </c>
      <c r="AG49" s="98">
        <v>0</v>
      </c>
      <c r="AH49" s="98">
        <v>0</v>
      </c>
      <c r="AI49" s="98">
        <v>0</v>
      </c>
      <c r="AJ49" s="98">
        <v>0</v>
      </c>
      <c r="AK49" s="97">
        <v>0</v>
      </c>
      <c r="AL49" s="98"/>
      <c r="AM49" s="138">
        <f>COUNTIF(AN47:AR49,"=0")</f>
        <v>14</v>
      </c>
      <c r="AN49" s="140">
        <f>IF(I47=M47,IF(J47=N47,29,0),0)</f>
        <v>29</v>
      </c>
      <c r="AO49" s="140">
        <f>IF(AF48=0,0,IF(ISBLANK(N47),0,20))</f>
        <v>0</v>
      </c>
      <c r="AP49" s="140">
        <f>IF(AF48=0,0,IF(ISBLANK(O47),0,20))</f>
        <v>0</v>
      </c>
      <c r="AQ49" s="140">
        <v>0</v>
      </c>
      <c r="AR49" s="140">
        <v>0</v>
      </c>
      <c r="AS49" s="98"/>
      <c r="AT49" s="96"/>
      <c r="AU49" s="99"/>
      <c r="AV49" s="71"/>
      <c r="AW49" s="71"/>
      <c r="AX49" s="71"/>
      <c r="AY49" s="71"/>
      <c r="AZ49" s="71">
        <v>50</v>
      </c>
      <c r="BA49" s="71">
        <v>50</v>
      </c>
      <c r="BB49" s="71"/>
      <c r="BC49" s="71"/>
      <c r="BD49" s="71"/>
      <c r="BE49" s="71"/>
      <c r="BF49" s="71"/>
      <c r="BG49" s="78"/>
      <c r="BH49" s="91"/>
      <c r="BI49" s="82"/>
      <c r="BJ49" s="82"/>
      <c r="BK49" s="78"/>
      <c r="BL49" s="91"/>
    </row>
    <row r="50" spans="1:64" ht="13.15" thickTop="1" x14ac:dyDescent="0.25">
      <c r="A50" s="274">
        <v>11</v>
      </c>
      <c r="B50" s="261"/>
      <c r="C50" s="261"/>
      <c r="D50" s="274" t="str">
        <f>PHONETIC(B50)&amp;" "&amp; PHONETIC(C50)</f>
        <v xml:space="preserve"> </v>
      </c>
      <c r="E50" s="48"/>
      <c r="F50" s="49"/>
      <c r="G50" s="38" t="str">
        <f>IF(ISBLANK(F50),"",IF(MONTH($AM$2)&gt;MONTH(F50),YEAR($AM$2)-YEAR(F50),IF(MONTH($AM$2)&lt;MONTH(F50),YEAR($AM$2)-YEAR(F50)-1,IF(DAY($AM$2)&gt;=DAY(F50),YEAR($AM$2)-YEAR(F50),YEAR($AM$2)-YEAR(F50)-1))))</f>
        <v/>
      </c>
      <c r="H50" s="50" t="str">
        <f>IF(S50&gt;0,VLOOKUP(S50,$BV$2:$BY$30,4),"-")</f>
        <v>-</v>
      </c>
      <c r="I50" s="269"/>
      <c r="J50" s="261"/>
      <c r="K50" s="264"/>
      <c r="L50" s="243" t="str">
        <f>IF(AF50&gt;0,VLOOKUP(AF50,$BV$2:$BY$30,4),"-")</f>
        <v>-</v>
      </c>
      <c r="M50" s="269"/>
      <c r="N50" s="261"/>
      <c r="O50" s="264"/>
      <c r="P50" s="243" t="str">
        <f>IF(AM50&gt;0,VLOOKUP(AM50,$BV$2:$BY$30,4),"-")</f>
        <v>-</v>
      </c>
      <c r="Q50" s="51"/>
      <c r="R50" s="51"/>
      <c r="S50" s="137">
        <f>IF(S51&gt;0,SMALL(T50:AD52,S52+1),0)</f>
        <v>0</v>
      </c>
      <c r="T50" s="95">
        <f>IF(ISBLANK(B50),0,IF(ISBLANK(E50),2,0))</f>
        <v>0</v>
      </c>
      <c r="U50" s="95">
        <f>IF(ISBLANK(B50),0,IF(ISBLANK(F50),3,0))</f>
        <v>0</v>
      </c>
      <c r="V50" s="95">
        <f>IF(ISBLANK(B50),0,IF(G50&lt;=17,4,0))</f>
        <v>0</v>
      </c>
      <c r="W50" s="95">
        <v>0</v>
      </c>
      <c r="X50" s="95">
        <v>0</v>
      </c>
      <c r="Y50" s="94">
        <v>0</v>
      </c>
      <c r="Z50" s="95">
        <v>0</v>
      </c>
      <c r="AA50" s="95">
        <v>0</v>
      </c>
      <c r="AB50" s="95">
        <v>0</v>
      </c>
      <c r="AC50" s="95">
        <v>0</v>
      </c>
      <c r="AD50" s="95">
        <v>0</v>
      </c>
      <c r="AE50" s="95"/>
      <c r="AF50" s="127">
        <f>IF(AF51&gt;0,SMALL(AG50:AK52,AF52+1),0)</f>
        <v>0</v>
      </c>
      <c r="AG50" s="102">
        <f>IF(ISBLANK(I50),10,0)</f>
        <v>10</v>
      </c>
      <c r="AH50" s="102">
        <f>IF(ISBLANK(J50),11,0)</f>
        <v>11</v>
      </c>
      <c r="AI50" s="102">
        <f>IF(ISBLANK(K50),13,0)</f>
        <v>13</v>
      </c>
      <c r="AJ50" s="102">
        <f>IF(ISNUMBER(K50),0,17)</f>
        <v>17</v>
      </c>
      <c r="AK50" s="101">
        <v>0</v>
      </c>
      <c r="AL50" s="102"/>
      <c r="AM50" s="141">
        <f>IF(AM51&gt;0,SMALL(AN50:AR52,AM52+1),0)</f>
        <v>0</v>
      </c>
      <c r="AN50" s="142">
        <f>IF(AF51=0,IF(ISBLANK(M50),IF(ISBLANK(N50),IF(ISBLANK(O50),0,21),21),0))</f>
        <v>0</v>
      </c>
      <c r="AO50" s="142">
        <f>IF(ISBLANK(M50),IF(ISBLANK(N50),0,22),IF(ISBLANK(N50),22,0))</f>
        <v>0</v>
      </c>
      <c r="AP50" s="142">
        <f>IF(ISBLANK(M50),0,IF(ISBLANK(O50),24,0))</f>
        <v>0</v>
      </c>
      <c r="AQ50" s="142">
        <f>IF(ISBLANK(O50),0,IF(ISNUMBER(O50),0,28))</f>
        <v>0</v>
      </c>
      <c r="AR50" s="142">
        <v>0</v>
      </c>
      <c r="AS50" s="102"/>
      <c r="AT50" s="100" t="e">
        <f>VLOOKUP(G50,$AZ$17:$BA$138,2)</f>
        <v>#N/A</v>
      </c>
      <c r="AU50" s="99"/>
      <c r="AV50" s="71"/>
      <c r="AW50" s="71"/>
      <c r="AX50" s="71"/>
      <c r="AY50" s="71"/>
      <c r="AZ50" s="71">
        <v>51</v>
      </c>
      <c r="BA50" s="71">
        <v>50</v>
      </c>
      <c r="BB50" s="71"/>
      <c r="BC50" s="71"/>
      <c r="BD50" s="71"/>
      <c r="BE50" s="71"/>
      <c r="BF50" s="71">
        <f>IF(E50="男",100,IF(E50="女",200,0))</f>
        <v>0</v>
      </c>
      <c r="BG50" s="78">
        <f>IF(I50="自由形",10,IF(I50="平泳ぎ",20,IF(I50="背泳ぎ",30,IF(I50="バタフライ",40,IF(I50="個人メドレー",50,0)))))</f>
        <v>0</v>
      </c>
      <c r="BH50" s="91">
        <f>IF(J50=25,1,IF(J50=50,2,IF(J50=100,3,0)))</f>
        <v>0</v>
      </c>
      <c r="BI50" s="82">
        <f>IF(M50="自由形",10,IF(M50="平泳ぎ",20,IF(M50="背泳ぎ",30,IF(M50="バタフライ",40,IF(M50="個人メドレー",50,0)))))</f>
        <v>0</v>
      </c>
      <c r="BJ50" s="82">
        <f>IF(N50=25,1,IF(N50=50,2,IF(N50=100,3,0)))</f>
        <v>0</v>
      </c>
      <c r="BK50" s="78">
        <f>BF50+BG50+BH50</f>
        <v>0</v>
      </c>
      <c r="BL50" s="91">
        <f>BF50+BI50+BJ50</f>
        <v>0</v>
      </c>
    </row>
    <row r="51" spans="1:64" x14ac:dyDescent="0.25">
      <c r="A51" s="275"/>
      <c r="B51" s="277"/>
      <c r="C51" s="279"/>
      <c r="D51" s="278"/>
      <c r="E51" s="54"/>
      <c r="F51" s="287"/>
      <c r="G51" s="247"/>
      <c r="H51" s="55"/>
      <c r="I51" s="270"/>
      <c r="J51" s="262"/>
      <c r="K51" s="265"/>
      <c r="L51" s="244"/>
      <c r="M51" s="270"/>
      <c r="N51" s="262"/>
      <c r="O51" s="265"/>
      <c r="P51" s="244"/>
      <c r="Q51" s="51"/>
      <c r="R51" s="51"/>
      <c r="S51" s="137">
        <f>IF(ISBLANK(B50),0,COUNTIF(T50:AD52,"&gt;0"))</f>
        <v>0</v>
      </c>
      <c r="T51" s="95">
        <f>IF(ISBLANK(B50),0,IF(ISBLANK(E51),5,0))</f>
        <v>0</v>
      </c>
      <c r="U51" s="95">
        <f>IF(ISBLANK(B50),0,IF(ISBLANK(F51),6,0))</f>
        <v>0</v>
      </c>
      <c r="V51" s="95">
        <f>IF(ISBLANK(B50),0,IF(ISBLANK(H51),7,0))</f>
        <v>0</v>
      </c>
      <c r="W51" s="95">
        <v>0</v>
      </c>
      <c r="X51" s="95">
        <v>0</v>
      </c>
      <c r="Y51" s="95">
        <f>IF(ISBLANK(B47),IF(ISBLANK(B50),0,1),0)</f>
        <v>0</v>
      </c>
      <c r="Z51" s="95">
        <v>0</v>
      </c>
      <c r="AA51" s="95">
        <v>0</v>
      </c>
      <c r="AB51" s="95">
        <v>0</v>
      </c>
      <c r="AC51" s="95">
        <v>0</v>
      </c>
      <c r="AD51" s="95">
        <v>0</v>
      </c>
      <c r="AE51" s="95"/>
      <c r="AF51" s="127">
        <f>IF(ISBLANK(B50),0,COUNTIF(AG50:AK52,"&gt;0"))</f>
        <v>0</v>
      </c>
      <c r="AG51" s="102">
        <f>IF(I50="個人メドレー",IF(J50&lt;&gt;100,12,0),0)</f>
        <v>0</v>
      </c>
      <c r="AH51" s="102">
        <f>IF(J50=25,IF(K50&lt;1000,14,0),0)</f>
        <v>0</v>
      </c>
      <c r="AI51" s="102">
        <f>IF(J50=50,IF(K50&lt;2000,15,0),0)</f>
        <v>0</v>
      </c>
      <c r="AJ51" s="102">
        <f>IF(J50=100,IF(K50&lt;4500,16,0),0)</f>
        <v>0</v>
      </c>
      <c r="AK51" s="101">
        <v>0</v>
      </c>
      <c r="AL51" s="102"/>
      <c r="AM51" s="141">
        <f>IF(ISBLANK(B50),0,IF(AF51=0,COUNTIF(AN50:AR52,"&gt;0"),COUNTIF(AN52:AP52,"&gt;0")))</f>
        <v>0</v>
      </c>
      <c r="AN51" s="142">
        <f>IF(M50="個人メドレー",IF(N50&lt;&gt;100,23,0),0)</f>
        <v>0</v>
      </c>
      <c r="AO51" s="142">
        <f>IF(N50=25,IF(O50&lt;1000,25,0),0)</f>
        <v>0</v>
      </c>
      <c r="AP51" s="142">
        <f>IF(N50=50,IF(O50&lt;2000,26,0),0)</f>
        <v>0</v>
      </c>
      <c r="AQ51" s="142">
        <f>IF(N50=100,IF(O50&lt;4500,27,0),0)</f>
        <v>0</v>
      </c>
      <c r="AR51" s="142">
        <v>0</v>
      </c>
      <c r="AS51" s="102"/>
      <c r="AT51" s="100"/>
      <c r="AU51" s="99"/>
      <c r="AV51" s="71"/>
      <c r="AW51" s="71"/>
      <c r="AX51" s="71"/>
      <c r="AY51" s="71"/>
      <c r="AZ51" s="71">
        <v>52</v>
      </c>
      <c r="BA51" s="71">
        <v>50</v>
      </c>
      <c r="BB51" s="71"/>
      <c r="BC51" s="71"/>
      <c r="BD51" s="71"/>
      <c r="BE51" s="71"/>
      <c r="BF51" s="71"/>
      <c r="BG51" s="78"/>
      <c r="BH51" s="91"/>
      <c r="BI51" s="82"/>
      <c r="BJ51" s="82"/>
      <c r="BK51" s="78"/>
      <c r="BL51" s="91"/>
    </row>
    <row r="52" spans="1:64" ht="13.15" thickBot="1" x14ac:dyDescent="0.3">
      <c r="A52" s="276"/>
      <c r="B52" s="248"/>
      <c r="C52" s="249"/>
      <c r="D52" s="250"/>
      <c r="E52" s="251"/>
      <c r="F52" s="252"/>
      <c r="G52" s="253"/>
      <c r="H52" s="56"/>
      <c r="I52" s="271"/>
      <c r="J52" s="263"/>
      <c r="K52" s="266"/>
      <c r="L52" s="245"/>
      <c r="M52" s="271"/>
      <c r="N52" s="263"/>
      <c r="O52" s="266"/>
      <c r="P52" s="245"/>
      <c r="Q52" s="52"/>
      <c r="R52" s="53"/>
      <c r="S52" s="132">
        <f>COUNTIF(T50:AD52,"=0")</f>
        <v>31</v>
      </c>
      <c r="T52" s="102">
        <f>IF(COUNTIF(F51,"*区*")=0,IF(ISBLANK(B52),8,0),0)</f>
        <v>8</v>
      </c>
      <c r="U52" s="102">
        <f>IF(COUNTIF(F51,"*区*")=0,IF(ISBLANK(E52),9,0),0)</f>
        <v>9</v>
      </c>
      <c r="V52" s="102">
        <v>0</v>
      </c>
      <c r="W52" s="102">
        <v>0</v>
      </c>
      <c r="X52" s="102">
        <v>0</v>
      </c>
      <c r="Y52" s="102">
        <v>0</v>
      </c>
      <c r="Z52" s="95">
        <v>0</v>
      </c>
      <c r="AA52" s="95">
        <v>0</v>
      </c>
      <c r="AB52" s="95">
        <v>0</v>
      </c>
      <c r="AC52" s="95">
        <v>0</v>
      </c>
      <c r="AD52" s="95">
        <v>0</v>
      </c>
      <c r="AE52" s="95"/>
      <c r="AF52" s="127">
        <f>COUNTIF(AG50:AK52,"=0")</f>
        <v>11</v>
      </c>
      <c r="AG52" s="102">
        <v>0</v>
      </c>
      <c r="AH52" s="102">
        <v>0</v>
      </c>
      <c r="AI52" s="102">
        <v>0</v>
      </c>
      <c r="AJ52" s="102">
        <v>0</v>
      </c>
      <c r="AK52" s="101">
        <v>0</v>
      </c>
      <c r="AL52" s="102"/>
      <c r="AM52" s="141">
        <f>COUNTIF(AN50:AR52,"=0")</f>
        <v>14</v>
      </c>
      <c r="AN52" s="142">
        <f>IF(I50=M50,IF(J50=N50,29,0),0)</f>
        <v>29</v>
      </c>
      <c r="AO52" s="142">
        <f>IF(AF51=0,0,IF(ISBLANK(N50),0,20))</f>
        <v>0</v>
      </c>
      <c r="AP52" s="142">
        <f>IF(AF51=0,0,IF(ISBLANK(O50),0,20))</f>
        <v>0</v>
      </c>
      <c r="AQ52" s="142">
        <v>0</v>
      </c>
      <c r="AR52" s="142">
        <v>0</v>
      </c>
      <c r="AS52" s="102"/>
      <c r="AT52" s="100"/>
      <c r="AU52" s="99"/>
      <c r="AV52" s="71"/>
      <c r="AW52" s="71"/>
      <c r="AX52" s="71"/>
      <c r="AY52" s="71"/>
      <c r="AZ52" s="71">
        <v>53</v>
      </c>
      <c r="BA52" s="71">
        <v>50</v>
      </c>
      <c r="BB52" s="71"/>
      <c r="BC52" s="71"/>
      <c r="BD52" s="71"/>
      <c r="BE52" s="71"/>
      <c r="BF52" s="71"/>
      <c r="BG52" s="78"/>
      <c r="BH52" s="91"/>
      <c r="BI52" s="82"/>
      <c r="BJ52" s="82"/>
      <c r="BK52" s="78"/>
      <c r="BL52" s="91"/>
    </row>
    <row r="53" spans="1:64" ht="13.15" thickTop="1" x14ac:dyDescent="0.25">
      <c r="A53" s="211">
        <v>12</v>
      </c>
      <c r="B53" s="254"/>
      <c r="C53" s="254"/>
      <c r="D53" s="211" t="str">
        <f>PHONETIC(B53)&amp;" "&amp; PHONETIC(C53)</f>
        <v xml:space="preserve"> </v>
      </c>
      <c r="E53" s="43"/>
      <c r="F53" s="40"/>
      <c r="G53" s="37" t="str">
        <f>IF(ISBLANK(F53),"",IF(MONTH($AM$2)&gt;MONTH(F53),YEAR($AM$2)-YEAR(F53),IF(MONTH($AM$2)&lt;MONTH(F53),YEAR($AM$2)-YEAR(F53)-1,IF(DAY($AM$2)&gt;=DAY(F53),YEAR($AM$2)-YEAR(F53),YEAR($AM$2)-YEAR(F53)-1))))</f>
        <v/>
      </c>
      <c r="H53" s="42" t="str">
        <f>IF(S53&gt;0,VLOOKUP(S53,$BV$2:$BY$30,4),"-")</f>
        <v>-</v>
      </c>
      <c r="I53" s="256"/>
      <c r="J53" s="254"/>
      <c r="K53" s="235"/>
      <c r="L53" s="238" t="str">
        <f>IF(AF53&gt;0,VLOOKUP(AF53,$BV$2:$BY$30,4),"-")</f>
        <v>-</v>
      </c>
      <c r="M53" s="256"/>
      <c r="N53" s="254"/>
      <c r="O53" s="235"/>
      <c r="P53" s="238" t="str">
        <f>IF(AM53&gt;0,VLOOKUP(AM53,$BV$2:$BY$30,4),"-")</f>
        <v>-</v>
      </c>
      <c r="Q53" s="45"/>
      <c r="R53" s="45"/>
      <c r="S53" s="135">
        <f>IF(S54&gt;0,SMALL(T53:AD55,S55+1),0)</f>
        <v>0</v>
      </c>
      <c r="T53" s="94">
        <f>IF(ISBLANK(B53),0,IF(ISBLANK(E53),2,0))</f>
        <v>0</v>
      </c>
      <c r="U53" s="94">
        <f>IF(ISBLANK(B53),0,IF(ISBLANK(F53),3,0))</f>
        <v>0</v>
      </c>
      <c r="V53" s="94">
        <f>IF(ISBLANK(B53),0,IF(G53&lt;=17,4,0))</f>
        <v>0</v>
      </c>
      <c r="W53" s="94">
        <v>0</v>
      </c>
      <c r="X53" s="94">
        <v>0</v>
      </c>
      <c r="Y53" s="94">
        <v>0</v>
      </c>
      <c r="Z53" s="94">
        <v>0</v>
      </c>
      <c r="AA53" s="94">
        <v>0</v>
      </c>
      <c r="AB53" s="94">
        <v>0</v>
      </c>
      <c r="AC53" s="94">
        <v>0</v>
      </c>
      <c r="AD53" s="94">
        <v>0</v>
      </c>
      <c r="AE53" s="94"/>
      <c r="AF53" s="128">
        <f>IF(AF54&gt;0,SMALL(AG53:AK55,AF55+1),0)</f>
        <v>0</v>
      </c>
      <c r="AG53" s="98">
        <f>IF(ISBLANK(I53),10,0)</f>
        <v>10</v>
      </c>
      <c r="AH53" s="98">
        <f>IF(ISBLANK(J53),11,0)</f>
        <v>11</v>
      </c>
      <c r="AI53" s="98">
        <f>IF(ISBLANK(K53),13,0)</f>
        <v>13</v>
      </c>
      <c r="AJ53" s="98">
        <f>IF(ISNUMBER(K53),0,17)</f>
        <v>17</v>
      </c>
      <c r="AK53" s="97">
        <v>0</v>
      </c>
      <c r="AL53" s="98"/>
      <c r="AM53" s="138">
        <f>IF(AM54&gt;0,SMALL(AN53:AR55,AM55+1),0)</f>
        <v>0</v>
      </c>
      <c r="AN53" s="140">
        <f>IF(AF54=0,IF(ISBLANK(M53),IF(ISBLANK(N53),IF(ISBLANK(O53),0,21),21),0))</f>
        <v>0</v>
      </c>
      <c r="AO53" s="140">
        <f>IF(ISBLANK(M53),IF(ISBLANK(N53),0,22),IF(ISBLANK(N53),22,0))</f>
        <v>0</v>
      </c>
      <c r="AP53" s="140">
        <f>IF(ISBLANK(M53),0,IF(ISBLANK(O53),24,0))</f>
        <v>0</v>
      </c>
      <c r="AQ53" s="140">
        <f>IF(ISBLANK(O53),0,IF(ISNUMBER(O53),0,28))</f>
        <v>0</v>
      </c>
      <c r="AR53" s="140">
        <v>0</v>
      </c>
      <c r="AS53" s="98"/>
      <c r="AT53" s="96" t="e">
        <f>VLOOKUP(G53,$AZ$17:$BA$138,2)</f>
        <v>#N/A</v>
      </c>
      <c r="AU53" s="99"/>
      <c r="AV53" s="71"/>
      <c r="AW53" s="71"/>
      <c r="AX53" s="71"/>
      <c r="AY53" s="71"/>
      <c r="AZ53" s="71">
        <v>54</v>
      </c>
      <c r="BA53" s="71">
        <v>50</v>
      </c>
      <c r="BB53" s="71"/>
      <c r="BC53" s="71"/>
      <c r="BD53" s="71"/>
      <c r="BE53" s="71"/>
      <c r="BF53" s="71">
        <f>IF(E53="男",100,IF(E53="女",200,0))</f>
        <v>0</v>
      </c>
      <c r="BG53" s="78">
        <f>IF(I53="自由形",10,IF(I53="平泳ぎ",20,IF(I53="背泳ぎ",30,IF(I53="バタフライ",40,IF(I53="個人メドレー",50,0)))))</f>
        <v>0</v>
      </c>
      <c r="BH53" s="91">
        <f>IF(J53=25,1,IF(J53=50,2,IF(J53=100,3,0)))</f>
        <v>0</v>
      </c>
      <c r="BI53" s="82">
        <f>IF(M53="自由形",10,IF(M53="平泳ぎ",20,IF(M53="背泳ぎ",30,IF(M53="バタフライ",40,IF(M53="個人メドレー",50,0)))))</f>
        <v>0</v>
      </c>
      <c r="BJ53" s="82">
        <f>IF(N53=25,1,IF(N53=50,2,IF(N53=100,3,0)))</f>
        <v>0</v>
      </c>
      <c r="BK53" s="78">
        <f>BF53+BG53+BH53</f>
        <v>0</v>
      </c>
      <c r="BL53" s="91">
        <f>BF53+BI53+BJ53</f>
        <v>0</v>
      </c>
    </row>
    <row r="54" spans="1:64" x14ac:dyDescent="0.25">
      <c r="A54" s="212"/>
      <c r="B54" s="255"/>
      <c r="C54" s="279"/>
      <c r="D54" s="216"/>
      <c r="E54" s="44"/>
      <c r="F54" s="286"/>
      <c r="G54" s="242"/>
      <c r="H54" s="39"/>
      <c r="I54" s="257"/>
      <c r="J54" s="259"/>
      <c r="K54" s="236"/>
      <c r="L54" s="239"/>
      <c r="M54" s="257"/>
      <c r="N54" s="259"/>
      <c r="O54" s="236"/>
      <c r="P54" s="239"/>
      <c r="Q54" s="45"/>
      <c r="R54" s="45"/>
      <c r="S54" s="135">
        <f>IF(ISBLANK(B53),0,COUNTIF(T53:AD55,"&gt;0"))</f>
        <v>0</v>
      </c>
      <c r="T54" s="94">
        <f>IF(ISBLANK(B53),0,IF(ISBLANK(E54),5,0))</f>
        <v>0</v>
      </c>
      <c r="U54" s="94">
        <f>IF(ISBLANK(B53),0,IF(ISBLANK(F54),6,0))</f>
        <v>0</v>
      </c>
      <c r="V54" s="94">
        <f>IF(ISBLANK(B53),0,IF(ISBLANK(H54),7,0))</f>
        <v>0</v>
      </c>
      <c r="W54" s="94">
        <v>0</v>
      </c>
      <c r="X54" s="94">
        <v>0</v>
      </c>
      <c r="Y54" s="94">
        <f>IF(ISBLANK(B50),IF(ISBLANK(B53),0,1),0)</f>
        <v>0</v>
      </c>
      <c r="Z54" s="94">
        <v>0</v>
      </c>
      <c r="AA54" s="94">
        <v>0</v>
      </c>
      <c r="AB54" s="94">
        <v>0</v>
      </c>
      <c r="AC54" s="94">
        <v>0</v>
      </c>
      <c r="AD54" s="94">
        <v>0</v>
      </c>
      <c r="AE54" s="94"/>
      <c r="AF54" s="128">
        <f>IF(ISBLANK(B53),0,COUNTIF(AG53:AK55,"&gt;0"))</f>
        <v>0</v>
      </c>
      <c r="AG54" s="98">
        <f>IF(I53="個人メドレー",IF(J53&lt;&gt;100,12,0),0)</f>
        <v>0</v>
      </c>
      <c r="AH54" s="98">
        <f>IF(J53=25,IF(K53&lt;1000,14,0),0)</f>
        <v>0</v>
      </c>
      <c r="AI54" s="98">
        <f>IF(J53=50,IF(K53&lt;2000,15,0),0)</f>
        <v>0</v>
      </c>
      <c r="AJ54" s="98">
        <f>IF(J53=100,IF(K53&lt;4500,16,0),0)</f>
        <v>0</v>
      </c>
      <c r="AK54" s="97">
        <v>0</v>
      </c>
      <c r="AL54" s="98"/>
      <c r="AM54" s="138">
        <f>IF(ISBLANK(B53),0,IF(AF54=0,COUNTIF(AN53:AR55,"&gt;0"),COUNTIF(AN55:AP55,"&gt;0")))</f>
        <v>0</v>
      </c>
      <c r="AN54" s="140">
        <f>IF(M53="個人メドレー",IF(N53&lt;&gt;100,23,0),0)</f>
        <v>0</v>
      </c>
      <c r="AO54" s="140">
        <f>IF(N53=25,IF(O53&lt;1000,25,0),0)</f>
        <v>0</v>
      </c>
      <c r="AP54" s="140">
        <f>IF(N53=50,IF(O53&lt;2000,26,0),0)</f>
        <v>0</v>
      </c>
      <c r="AQ54" s="140">
        <f>IF(N53=100,IF(O53&lt;4500,27,0),0)</f>
        <v>0</v>
      </c>
      <c r="AR54" s="140">
        <v>0</v>
      </c>
      <c r="AS54" s="98"/>
      <c r="AT54" s="96"/>
      <c r="AU54" s="99"/>
      <c r="AV54" s="71"/>
      <c r="AW54" s="71"/>
      <c r="AX54" s="71"/>
      <c r="AY54" s="71"/>
      <c r="AZ54" s="71">
        <v>55</v>
      </c>
      <c r="BA54" s="71">
        <v>50</v>
      </c>
      <c r="BB54" s="71"/>
      <c r="BC54" s="71"/>
      <c r="BD54" s="71"/>
      <c r="BE54" s="71"/>
      <c r="BF54" s="71"/>
      <c r="BG54" s="78"/>
      <c r="BH54" s="91"/>
      <c r="BI54" s="82"/>
      <c r="BJ54" s="82"/>
      <c r="BK54" s="78"/>
      <c r="BL54" s="91"/>
    </row>
    <row r="55" spans="1:64" ht="13.15" thickBot="1" x14ac:dyDescent="0.3">
      <c r="A55" s="213"/>
      <c r="B55" s="280"/>
      <c r="C55" s="281"/>
      <c r="D55" s="282"/>
      <c r="E55" s="283"/>
      <c r="F55" s="284"/>
      <c r="G55" s="285"/>
      <c r="H55" s="41"/>
      <c r="I55" s="258"/>
      <c r="J55" s="260"/>
      <c r="K55" s="237"/>
      <c r="L55" s="240"/>
      <c r="M55" s="258"/>
      <c r="N55" s="260"/>
      <c r="O55" s="237"/>
      <c r="P55" s="240"/>
      <c r="Q55" s="46"/>
      <c r="R55" s="47"/>
      <c r="S55" s="136">
        <f>COUNTIF(T53:AD55,"=0")</f>
        <v>31</v>
      </c>
      <c r="T55" s="98">
        <f>IF(COUNTIF(F54,"*区*")=0,IF(ISBLANK(B55),8,0),0)</f>
        <v>8</v>
      </c>
      <c r="U55" s="98">
        <f>IF(COUNTIF(F54,"*区*")=0,IF(ISBLANK(E55),9,0),0)</f>
        <v>9</v>
      </c>
      <c r="V55" s="98">
        <v>0</v>
      </c>
      <c r="W55" s="98">
        <v>0</v>
      </c>
      <c r="X55" s="98">
        <v>0</v>
      </c>
      <c r="Y55" s="98">
        <v>0</v>
      </c>
      <c r="Z55" s="94">
        <v>0</v>
      </c>
      <c r="AA55" s="94">
        <v>0</v>
      </c>
      <c r="AB55" s="94">
        <v>0</v>
      </c>
      <c r="AC55" s="94">
        <v>0</v>
      </c>
      <c r="AD55" s="94">
        <v>0</v>
      </c>
      <c r="AE55" s="94"/>
      <c r="AF55" s="128">
        <f>COUNTIF(AG53:AK55,"=0")</f>
        <v>11</v>
      </c>
      <c r="AG55" s="98">
        <v>0</v>
      </c>
      <c r="AH55" s="98">
        <v>0</v>
      </c>
      <c r="AI55" s="98">
        <v>0</v>
      </c>
      <c r="AJ55" s="98">
        <v>0</v>
      </c>
      <c r="AK55" s="97">
        <v>0</v>
      </c>
      <c r="AL55" s="98"/>
      <c r="AM55" s="138">
        <f>COUNTIF(AN53:AR55,"=0")</f>
        <v>14</v>
      </c>
      <c r="AN55" s="140">
        <f>IF(I53=M53,IF(J53=N53,29,0),0)</f>
        <v>29</v>
      </c>
      <c r="AO55" s="140">
        <f>IF(AF54=0,0,IF(ISBLANK(N53),0,20))</f>
        <v>0</v>
      </c>
      <c r="AP55" s="140">
        <f>IF(AF54=0,0,IF(ISBLANK(O53),0,20))</f>
        <v>0</v>
      </c>
      <c r="AQ55" s="140">
        <v>0</v>
      </c>
      <c r="AR55" s="140">
        <v>0</v>
      </c>
      <c r="AS55" s="98"/>
      <c r="AT55" s="96"/>
      <c r="AU55" s="99"/>
      <c r="AV55" s="71"/>
      <c r="AW55" s="71"/>
      <c r="AX55" s="71"/>
      <c r="AY55" s="71"/>
      <c r="AZ55" s="71">
        <v>56</v>
      </c>
      <c r="BA55" s="71">
        <v>50</v>
      </c>
      <c r="BB55" s="71"/>
      <c r="BC55" s="71"/>
      <c r="BD55" s="71"/>
      <c r="BE55" s="71"/>
      <c r="BF55" s="71"/>
      <c r="BG55" s="78"/>
      <c r="BH55" s="91"/>
      <c r="BI55" s="82"/>
      <c r="BJ55" s="82"/>
      <c r="BK55" s="78"/>
      <c r="BL55" s="91"/>
    </row>
    <row r="56" spans="1:64" ht="13.15" thickTop="1" x14ac:dyDescent="0.25">
      <c r="A56" s="274">
        <v>13</v>
      </c>
      <c r="B56" s="261"/>
      <c r="C56" s="261"/>
      <c r="D56" s="274" t="str">
        <f>PHONETIC(B56)&amp;" "&amp; PHONETIC(C56)</f>
        <v xml:space="preserve"> </v>
      </c>
      <c r="E56" s="48"/>
      <c r="F56" s="49"/>
      <c r="G56" s="38" t="str">
        <f>IF(ISBLANK(F56),"",IF(MONTH($AM$2)&gt;MONTH(F56),YEAR($AM$2)-YEAR(F56),IF(MONTH($AM$2)&lt;MONTH(F56),YEAR($AM$2)-YEAR(F56)-1,IF(DAY($AM$2)&gt;=DAY(F56),YEAR($AM$2)-YEAR(F56),YEAR($AM$2)-YEAR(F56)-1))))</f>
        <v/>
      </c>
      <c r="H56" s="50" t="str">
        <f>IF(S56&gt;0,VLOOKUP(S56,$BV$2:$BY$30,4),"-")</f>
        <v>-</v>
      </c>
      <c r="I56" s="269"/>
      <c r="J56" s="261"/>
      <c r="K56" s="264"/>
      <c r="L56" s="243" t="str">
        <f>IF(AF56&gt;0,VLOOKUP(AF56,$BV$2:$BY$30,4),"-")</f>
        <v>-</v>
      </c>
      <c r="M56" s="269"/>
      <c r="N56" s="261"/>
      <c r="O56" s="264"/>
      <c r="P56" s="243" t="str">
        <f>IF(AM56&gt;0,VLOOKUP(AM56,$BV$2:$BY$30,4),"-")</f>
        <v>-</v>
      </c>
      <c r="Q56" s="51"/>
      <c r="R56" s="51"/>
      <c r="S56" s="137">
        <f>IF(S57&gt;0,SMALL(T56:AD58,S58+1),0)</f>
        <v>0</v>
      </c>
      <c r="T56" s="95">
        <f>IF(ISBLANK(B56),0,IF(ISBLANK(E56),2,0))</f>
        <v>0</v>
      </c>
      <c r="U56" s="95">
        <f>IF(ISBLANK(B56),0,IF(ISBLANK(F56),3,0))</f>
        <v>0</v>
      </c>
      <c r="V56" s="95">
        <f>IF(ISBLANK(B56),0,IF(G56&lt;=17,4,0))</f>
        <v>0</v>
      </c>
      <c r="W56" s="95">
        <v>0</v>
      </c>
      <c r="X56" s="95">
        <v>0</v>
      </c>
      <c r="Y56" s="94">
        <v>0</v>
      </c>
      <c r="Z56" s="95">
        <v>0</v>
      </c>
      <c r="AA56" s="95">
        <v>0</v>
      </c>
      <c r="AB56" s="95">
        <v>0</v>
      </c>
      <c r="AC56" s="95">
        <v>0</v>
      </c>
      <c r="AD56" s="95">
        <v>0</v>
      </c>
      <c r="AE56" s="95"/>
      <c r="AF56" s="127">
        <f>IF(AF57&gt;0,SMALL(AG56:AK58,AF58+1),0)</f>
        <v>0</v>
      </c>
      <c r="AG56" s="102">
        <f>IF(ISBLANK(I56),10,0)</f>
        <v>10</v>
      </c>
      <c r="AH56" s="102">
        <f>IF(ISBLANK(J56),11,0)</f>
        <v>11</v>
      </c>
      <c r="AI56" s="102">
        <f>IF(ISBLANK(K56),13,0)</f>
        <v>13</v>
      </c>
      <c r="AJ56" s="102">
        <f>IF(ISNUMBER(K56),0,17)</f>
        <v>17</v>
      </c>
      <c r="AK56" s="101">
        <v>0</v>
      </c>
      <c r="AL56" s="102"/>
      <c r="AM56" s="141">
        <f>IF(AM57&gt;0,SMALL(AN56:AR58,AM58+1),0)</f>
        <v>0</v>
      </c>
      <c r="AN56" s="142">
        <f>IF(AF57=0,IF(ISBLANK(M56),IF(ISBLANK(N56),IF(ISBLANK(O56),0,21),21),0))</f>
        <v>0</v>
      </c>
      <c r="AO56" s="142">
        <f>IF(ISBLANK(M56),IF(ISBLANK(N56),0,22),IF(ISBLANK(N56),22,0))</f>
        <v>0</v>
      </c>
      <c r="AP56" s="142">
        <f>IF(ISBLANK(M56),0,IF(ISBLANK(O56),24,0))</f>
        <v>0</v>
      </c>
      <c r="AQ56" s="142">
        <f>IF(ISBLANK(O56),0,IF(ISNUMBER(O56),0,28))</f>
        <v>0</v>
      </c>
      <c r="AR56" s="142">
        <v>0</v>
      </c>
      <c r="AS56" s="102"/>
      <c r="AT56" s="100" t="e">
        <f>VLOOKUP(G56,$AZ$17:$BA$138,2)</f>
        <v>#N/A</v>
      </c>
      <c r="AU56" s="99"/>
      <c r="AV56" s="71"/>
      <c r="AW56" s="71"/>
      <c r="AX56" s="71"/>
      <c r="AY56" s="71"/>
      <c r="AZ56" s="71">
        <v>57</v>
      </c>
      <c r="BA56" s="71">
        <v>50</v>
      </c>
      <c r="BB56" s="71"/>
      <c r="BC56" s="71"/>
      <c r="BD56" s="71"/>
      <c r="BE56" s="71"/>
      <c r="BF56" s="71">
        <f>IF(E56="男",100,IF(E56="女",200,0))</f>
        <v>0</v>
      </c>
      <c r="BG56" s="78">
        <f>IF(I56="自由形",10,IF(I56="平泳ぎ",20,IF(I56="背泳ぎ",30,IF(I56="バタフライ",40,IF(I56="個人メドレー",50,0)))))</f>
        <v>0</v>
      </c>
      <c r="BH56" s="91">
        <f>IF(J56=25,1,IF(J56=50,2,IF(J56=100,3,0)))</f>
        <v>0</v>
      </c>
      <c r="BI56" s="82">
        <f>IF(M56="自由形",10,IF(M56="平泳ぎ",20,IF(M56="背泳ぎ",30,IF(M56="バタフライ",40,IF(M56="個人メドレー",50,0)))))</f>
        <v>0</v>
      </c>
      <c r="BJ56" s="82">
        <f>IF(N56=25,1,IF(N56=50,2,IF(N56=100,3,0)))</f>
        <v>0</v>
      </c>
      <c r="BK56" s="78">
        <f>BF56+BG56+BH56</f>
        <v>0</v>
      </c>
      <c r="BL56" s="91">
        <f>BF56+BI56+BJ56</f>
        <v>0</v>
      </c>
    </row>
    <row r="57" spans="1:64" x14ac:dyDescent="0.25">
      <c r="A57" s="275"/>
      <c r="B57" s="277"/>
      <c r="C57" s="279"/>
      <c r="D57" s="278"/>
      <c r="E57" s="54"/>
      <c r="F57" s="287"/>
      <c r="G57" s="247"/>
      <c r="H57" s="55"/>
      <c r="I57" s="270"/>
      <c r="J57" s="262"/>
      <c r="K57" s="265"/>
      <c r="L57" s="244"/>
      <c r="M57" s="270"/>
      <c r="N57" s="262"/>
      <c r="O57" s="265"/>
      <c r="P57" s="244"/>
      <c r="Q57" s="51"/>
      <c r="R57" s="51"/>
      <c r="S57" s="137">
        <f>IF(ISBLANK(B56),0,COUNTIF(T56:AD58,"&gt;0"))</f>
        <v>0</v>
      </c>
      <c r="T57" s="95">
        <f>IF(ISBLANK(B56),0,IF(ISBLANK(E57),5,0))</f>
        <v>0</v>
      </c>
      <c r="U57" s="95">
        <f>IF(ISBLANK(B56),0,IF(ISBLANK(F57),6,0))</f>
        <v>0</v>
      </c>
      <c r="V57" s="95">
        <f>IF(ISBLANK(B56),0,IF(ISBLANK(H57),7,0))</f>
        <v>0</v>
      </c>
      <c r="W57" s="95">
        <v>0</v>
      </c>
      <c r="X57" s="95">
        <v>0</v>
      </c>
      <c r="Y57" s="95">
        <f>IF(ISBLANK(B53),IF(ISBLANK(B56),0,1),0)</f>
        <v>0</v>
      </c>
      <c r="Z57" s="95">
        <v>0</v>
      </c>
      <c r="AA57" s="95">
        <v>0</v>
      </c>
      <c r="AB57" s="95">
        <v>0</v>
      </c>
      <c r="AC57" s="95">
        <v>0</v>
      </c>
      <c r="AD57" s="95">
        <v>0</v>
      </c>
      <c r="AE57" s="95"/>
      <c r="AF57" s="127">
        <f>IF(ISBLANK(B56),0,COUNTIF(AG56:AK58,"&gt;0"))</f>
        <v>0</v>
      </c>
      <c r="AG57" s="102">
        <f>IF(I56="個人メドレー",IF(J56&lt;&gt;100,12,0),0)</f>
        <v>0</v>
      </c>
      <c r="AH57" s="102">
        <f>IF(J56=25,IF(K56&lt;1000,14,0),0)</f>
        <v>0</v>
      </c>
      <c r="AI57" s="102">
        <f>IF(J56=50,IF(K56&lt;2000,15,0),0)</f>
        <v>0</v>
      </c>
      <c r="AJ57" s="102">
        <f>IF(J56=100,IF(K56&lt;4500,16,0),0)</f>
        <v>0</v>
      </c>
      <c r="AK57" s="101">
        <v>0</v>
      </c>
      <c r="AL57" s="102"/>
      <c r="AM57" s="141">
        <f>IF(ISBLANK(B56),0,IF(AF57=0,COUNTIF(AN56:AR58,"&gt;0"),COUNTIF(AN58:AP58,"&gt;0")))</f>
        <v>0</v>
      </c>
      <c r="AN57" s="142">
        <f>IF(M56="個人メドレー",IF(N56&lt;&gt;100,23,0),0)</f>
        <v>0</v>
      </c>
      <c r="AO57" s="142">
        <f>IF(N56=25,IF(O56&lt;1000,25,0),0)</f>
        <v>0</v>
      </c>
      <c r="AP57" s="142">
        <f>IF(N56=50,IF(O56&lt;2000,26,0),0)</f>
        <v>0</v>
      </c>
      <c r="AQ57" s="142">
        <f>IF(N56=100,IF(O56&lt;4500,27,0),0)</f>
        <v>0</v>
      </c>
      <c r="AR57" s="142">
        <v>0</v>
      </c>
      <c r="AS57" s="102"/>
      <c r="AT57" s="100"/>
      <c r="AU57" s="99"/>
      <c r="AV57" s="71"/>
      <c r="AW57" s="71"/>
      <c r="AX57" s="71"/>
      <c r="AY57" s="71"/>
      <c r="AZ57" s="71">
        <v>58</v>
      </c>
      <c r="BA57" s="71">
        <v>50</v>
      </c>
      <c r="BB57" s="71"/>
      <c r="BC57" s="71"/>
      <c r="BD57" s="71"/>
      <c r="BE57" s="71"/>
      <c r="BF57" s="71"/>
      <c r="BG57" s="78"/>
      <c r="BH57" s="91"/>
      <c r="BI57" s="82"/>
      <c r="BJ57" s="82"/>
      <c r="BK57" s="78"/>
      <c r="BL57" s="91"/>
    </row>
    <row r="58" spans="1:64" ht="13.15" thickBot="1" x14ac:dyDescent="0.3">
      <c r="A58" s="276"/>
      <c r="B58" s="248"/>
      <c r="C58" s="249"/>
      <c r="D58" s="250"/>
      <c r="E58" s="251"/>
      <c r="F58" s="252"/>
      <c r="G58" s="253"/>
      <c r="H58" s="56"/>
      <c r="I58" s="271"/>
      <c r="J58" s="263"/>
      <c r="K58" s="266"/>
      <c r="L58" s="245"/>
      <c r="M58" s="271"/>
      <c r="N58" s="263"/>
      <c r="O58" s="266"/>
      <c r="P58" s="245"/>
      <c r="Q58" s="52"/>
      <c r="R58" s="53"/>
      <c r="S58" s="132">
        <f>COUNTIF(T56:AD58,"=0")</f>
        <v>31</v>
      </c>
      <c r="T58" s="102">
        <f>IF(COUNTIF(F57,"*区*")=0,IF(ISBLANK(B58),8,0),0)</f>
        <v>8</v>
      </c>
      <c r="U58" s="102">
        <f>IF(COUNTIF(F57,"*区*")=0,IF(ISBLANK(E58),9,0),0)</f>
        <v>9</v>
      </c>
      <c r="V58" s="102">
        <v>0</v>
      </c>
      <c r="W58" s="102">
        <v>0</v>
      </c>
      <c r="X58" s="102">
        <v>0</v>
      </c>
      <c r="Y58" s="102">
        <v>0</v>
      </c>
      <c r="Z58" s="95">
        <v>0</v>
      </c>
      <c r="AA58" s="95">
        <v>0</v>
      </c>
      <c r="AB58" s="95">
        <v>0</v>
      </c>
      <c r="AC58" s="95">
        <v>0</v>
      </c>
      <c r="AD58" s="95">
        <v>0</v>
      </c>
      <c r="AE58" s="95"/>
      <c r="AF58" s="127">
        <f>COUNTIF(AG56:AK58,"=0")</f>
        <v>11</v>
      </c>
      <c r="AG58" s="102">
        <v>0</v>
      </c>
      <c r="AH58" s="102">
        <v>0</v>
      </c>
      <c r="AI58" s="102">
        <v>0</v>
      </c>
      <c r="AJ58" s="102">
        <v>0</v>
      </c>
      <c r="AK58" s="101">
        <v>0</v>
      </c>
      <c r="AL58" s="102"/>
      <c r="AM58" s="141">
        <f>COUNTIF(AN56:AR58,"=0")</f>
        <v>14</v>
      </c>
      <c r="AN58" s="142">
        <f>IF(I56=M56,IF(J56=N56,29,0),0)</f>
        <v>29</v>
      </c>
      <c r="AO58" s="142">
        <f>IF(AF57=0,0,IF(ISBLANK(N56),0,20))</f>
        <v>0</v>
      </c>
      <c r="AP58" s="142">
        <f>IF(AF57=0,0,IF(ISBLANK(O56),0,20))</f>
        <v>0</v>
      </c>
      <c r="AQ58" s="142">
        <v>0</v>
      </c>
      <c r="AR58" s="142">
        <v>0</v>
      </c>
      <c r="AS58" s="102"/>
      <c r="AT58" s="100"/>
      <c r="AU58" s="99"/>
      <c r="AV58" s="71"/>
      <c r="AW58" s="71"/>
      <c r="AX58" s="71"/>
      <c r="AY58" s="71"/>
      <c r="AZ58" s="71">
        <v>59</v>
      </c>
      <c r="BA58" s="71">
        <v>50</v>
      </c>
      <c r="BB58" s="71"/>
      <c r="BC58" s="71"/>
      <c r="BD58" s="71"/>
      <c r="BE58" s="71"/>
      <c r="BF58" s="71"/>
      <c r="BG58" s="78"/>
      <c r="BH58" s="91"/>
      <c r="BI58" s="82"/>
      <c r="BJ58" s="82"/>
      <c r="BK58" s="78"/>
      <c r="BL58" s="91"/>
    </row>
    <row r="59" spans="1:64" ht="13.15" thickTop="1" x14ac:dyDescent="0.25">
      <c r="A59" s="211">
        <v>14</v>
      </c>
      <c r="B59" s="254"/>
      <c r="C59" s="254"/>
      <c r="D59" s="211" t="str">
        <f>PHONETIC(B59)&amp;" "&amp; PHONETIC(C59)</f>
        <v xml:space="preserve"> </v>
      </c>
      <c r="E59" s="43"/>
      <c r="F59" s="40"/>
      <c r="G59" s="37" t="str">
        <f>IF(ISBLANK(F59),"",IF(MONTH($AM$2)&gt;MONTH(F59),YEAR($AM$2)-YEAR(F59),IF(MONTH($AM$2)&lt;MONTH(F59),YEAR($AM$2)-YEAR(F59)-1,IF(DAY($AM$2)&gt;=DAY(F59),YEAR($AM$2)-YEAR(F59),YEAR($AM$2)-YEAR(F59)-1))))</f>
        <v/>
      </c>
      <c r="H59" s="42" t="str">
        <f>IF(S59&gt;0,VLOOKUP(S59,$BV$2:$BY$30,4),"-")</f>
        <v>-</v>
      </c>
      <c r="I59" s="256"/>
      <c r="J59" s="254"/>
      <c r="K59" s="235"/>
      <c r="L59" s="238" t="str">
        <f>IF(AF59&gt;0,VLOOKUP(AF59,$BV$2:$BY$30,4),"-")</f>
        <v>-</v>
      </c>
      <c r="M59" s="256"/>
      <c r="N59" s="254"/>
      <c r="O59" s="235"/>
      <c r="P59" s="238" t="str">
        <f>IF(AM59&gt;0,VLOOKUP(AM59,$BV$2:$BY$30,4),"-")</f>
        <v>-</v>
      </c>
      <c r="Q59" s="45"/>
      <c r="R59" s="45"/>
      <c r="S59" s="135">
        <f>IF(S60&gt;0,SMALL(T59:AD61,S61+1),0)</f>
        <v>0</v>
      </c>
      <c r="T59" s="94">
        <f>IF(ISBLANK(B59),0,IF(ISBLANK(E59),2,0))</f>
        <v>0</v>
      </c>
      <c r="U59" s="94">
        <f>IF(ISBLANK(B59),0,IF(ISBLANK(F59),3,0))</f>
        <v>0</v>
      </c>
      <c r="V59" s="94">
        <f>IF(ISBLANK(B59),0,IF(G59&lt;=17,4,0))</f>
        <v>0</v>
      </c>
      <c r="W59" s="94">
        <v>0</v>
      </c>
      <c r="X59" s="94">
        <v>0</v>
      </c>
      <c r="Y59" s="94">
        <v>0</v>
      </c>
      <c r="Z59" s="94">
        <v>0</v>
      </c>
      <c r="AA59" s="94">
        <v>0</v>
      </c>
      <c r="AB59" s="94">
        <v>0</v>
      </c>
      <c r="AC59" s="94">
        <v>0</v>
      </c>
      <c r="AD59" s="94">
        <v>0</v>
      </c>
      <c r="AE59" s="94"/>
      <c r="AF59" s="128">
        <f>IF(AF60&gt;0,SMALL(AG59:AK61,AF61+1),0)</f>
        <v>0</v>
      </c>
      <c r="AG59" s="98">
        <f>IF(ISBLANK(I59),10,0)</f>
        <v>10</v>
      </c>
      <c r="AH59" s="98">
        <f>IF(ISBLANK(J59),11,0)</f>
        <v>11</v>
      </c>
      <c r="AI59" s="98">
        <f>IF(ISBLANK(K59),13,0)</f>
        <v>13</v>
      </c>
      <c r="AJ59" s="98">
        <f>IF(ISNUMBER(K59),0,17)</f>
        <v>17</v>
      </c>
      <c r="AK59" s="97">
        <v>0</v>
      </c>
      <c r="AL59" s="98"/>
      <c r="AM59" s="138">
        <f>IF(AM60&gt;0,SMALL(AN59:AR61,AM61+1),0)</f>
        <v>0</v>
      </c>
      <c r="AN59" s="140">
        <f>IF(AF60=0,IF(ISBLANK(M59),IF(ISBLANK(N59),IF(ISBLANK(O59),0,21),21),0))</f>
        <v>0</v>
      </c>
      <c r="AO59" s="140">
        <f>IF(ISBLANK(M59),IF(ISBLANK(N59),0,22),IF(ISBLANK(N59),22,0))</f>
        <v>0</v>
      </c>
      <c r="AP59" s="140">
        <f>IF(ISBLANK(M59),0,IF(ISBLANK(O59),24,0))</f>
        <v>0</v>
      </c>
      <c r="AQ59" s="140">
        <f>IF(ISBLANK(O59),0,IF(ISNUMBER(O59),0,28))</f>
        <v>0</v>
      </c>
      <c r="AR59" s="140">
        <v>0</v>
      </c>
      <c r="AS59" s="98"/>
      <c r="AT59" s="96" t="e">
        <f>VLOOKUP(G59,$AZ$17:$BA$138,2)</f>
        <v>#N/A</v>
      </c>
      <c r="AU59" s="99"/>
      <c r="AV59" s="71"/>
      <c r="AW59" s="71"/>
      <c r="AX59" s="71"/>
      <c r="AY59" s="71"/>
      <c r="AZ59" s="71">
        <v>60</v>
      </c>
      <c r="BA59" s="71">
        <v>60</v>
      </c>
      <c r="BB59" s="71"/>
      <c r="BC59" s="71"/>
      <c r="BD59" s="71"/>
      <c r="BE59" s="71"/>
      <c r="BF59" s="71">
        <f>IF(E59="男",100,IF(E59="女",200,0))</f>
        <v>0</v>
      </c>
      <c r="BG59" s="78">
        <f>IF(I59="自由形",10,IF(I59="平泳ぎ",20,IF(I59="背泳ぎ",30,IF(I59="バタフライ",40,IF(I59="個人メドレー",50,0)))))</f>
        <v>0</v>
      </c>
      <c r="BH59" s="91">
        <f>IF(J59=25,1,IF(J59=50,2,IF(J59=100,3,0)))</f>
        <v>0</v>
      </c>
      <c r="BI59" s="82">
        <f>IF(M59="自由形",10,IF(M59="平泳ぎ",20,IF(M59="背泳ぎ",30,IF(M59="バタフライ",40,IF(M59="個人メドレー",50,0)))))</f>
        <v>0</v>
      </c>
      <c r="BJ59" s="82">
        <f>IF(N59=25,1,IF(N59=50,2,IF(N59=100,3,0)))</f>
        <v>0</v>
      </c>
      <c r="BK59" s="78">
        <f>BF59+BG59+BH59</f>
        <v>0</v>
      </c>
      <c r="BL59" s="91">
        <f>BF59+BI59+BJ59</f>
        <v>0</v>
      </c>
    </row>
    <row r="60" spans="1:64" x14ac:dyDescent="0.25">
      <c r="A60" s="212"/>
      <c r="B60" s="255"/>
      <c r="C60" s="279"/>
      <c r="D60" s="216"/>
      <c r="E60" s="44"/>
      <c r="F60" s="286"/>
      <c r="G60" s="242"/>
      <c r="H60" s="39"/>
      <c r="I60" s="257"/>
      <c r="J60" s="259"/>
      <c r="K60" s="236"/>
      <c r="L60" s="239"/>
      <c r="M60" s="257"/>
      <c r="N60" s="259"/>
      <c r="O60" s="236"/>
      <c r="P60" s="239"/>
      <c r="Q60" s="45"/>
      <c r="R60" s="45"/>
      <c r="S60" s="135">
        <f>IF(ISBLANK(B59),0,COUNTIF(T59:AD61,"&gt;0"))</f>
        <v>0</v>
      </c>
      <c r="T60" s="94">
        <f>IF(ISBLANK(B59),0,IF(ISBLANK(E60),5,0))</f>
        <v>0</v>
      </c>
      <c r="U60" s="94">
        <f>IF(ISBLANK(B59),0,IF(ISBLANK(F60),6,0))</f>
        <v>0</v>
      </c>
      <c r="V60" s="94">
        <f>IF(ISBLANK(B59),0,IF(ISBLANK(H60),7,0))</f>
        <v>0</v>
      </c>
      <c r="W60" s="94">
        <v>0</v>
      </c>
      <c r="X60" s="94">
        <v>0</v>
      </c>
      <c r="Y60" s="94">
        <f>IF(ISBLANK(B56),IF(ISBLANK(B59),0,1),0)</f>
        <v>0</v>
      </c>
      <c r="Z60" s="94">
        <v>0</v>
      </c>
      <c r="AA60" s="94">
        <v>0</v>
      </c>
      <c r="AB60" s="94">
        <v>0</v>
      </c>
      <c r="AC60" s="94">
        <v>0</v>
      </c>
      <c r="AD60" s="94">
        <v>0</v>
      </c>
      <c r="AE60" s="94"/>
      <c r="AF60" s="128">
        <f>IF(ISBLANK(B59),0,COUNTIF(AG59:AK61,"&gt;0"))</f>
        <v>0</v>
      </c>
      <c r="AG60" s="98">
        <f>IF(I59="個人メドレー",IF(J59&lt;&gt;100,12,0),0)</f>
        <v>0</v>
      </c>
      <c r="AH60" s="98">
        <f>IF(J59=25,IF(K59&lt;1000,14,0),0)</f>
        <v>0</v>
      </c>
      <c r="AI60" s="98">
        <f>IF(J59=50,IF(K59&lt;2000,15,0),0)</f>
        <v>0</v>
      </c>
      <c r="AJ60" s="98">
        <f>IF(J59=100,IF(K59&lt;4500,16,0),0)</f>
        <v>0</v>
      </c>
      <c r="AK60" s="97">
        <v>0</v>
      </c>
      <c r="AL60" s="98"/>
      <c r="AM60" s="138">
        <f>IF(ISBLANK(B59),0,IF(AF60=0,COUNTIF(AN59:AR61,"&gt;0"),COUNTIF(AN61:AP61,"&gt;0")))</f>
        <v>0</v>
      </c>
      <c r="AN60" s="140">
        <f>IF(M59="個人メドレー",IF(N59&lt;&gt;100,23,0),0)</f>
        <v>0</v>
      </c>
      <c r="AO60" s="140">
        <f>IF(N59=25,IF(O59&lt;1000,25,0),0)</f>
        <v>0</v>
      </c>
      <c r="AP60" s="140">
        <f>IF(N59=50,IF(O59&lt;2000,26,0),0)</f>
        <v>0</v>
      </c>
      <c r="AQ60" s="140">
        <f>IF(N59=100,IF(O59&lt;4500,27,0),0)</f>
        <v>0</v>
      </c>
      <c r="AR60" s="140">
        <v>0</v>
      </c>
      <c r="AS60" s="98"/>
      <c r="AT60" s="96"/>
      <c r="AU60" s="99"/>
      <c r="AV60" s="71"/>
      <c r="AW60" s="71"/>
      <c r="AX60" s="71"/>
      <c r="AY60" s="71"/>
      <c r="AZ60" s="71">
        <v>61</v>
      </c>
      <c r="BA60" s="71">
        <v>60</v>
      </c>
      <c r="BB60" s="71"/>
      <c r="BC60" s="71"/>
      <c r="BD60" s="71"/>
      <c r="BE60" s="71"/>
      <c r="BF60" s="71"/>
      <c r="BG60" s="78"/>
      <c r="BH60" s="91"/>
      <c r="BI60" s="82"/>
      <c r="BJ60" s="82"/>
      <c r="BK60" s="78"/>
      <c r="BL60" s="91"/>
    </row>
    <row r="61" spans="1:64" ht="13.15" thickBot="1" x14ac:dyDescent="0.3">
      <c r="A61" s="213"/>
      <c r="B61" s="280"/>
      <c r="C61" s="281"/>
      <c r="D61" s="282"/>
      <c r="E61" s="283"/>
      <c r="F61" s="284"/>
      <c r="G61" s="285"/>
      <c r="H61" s="41"/>
      <c r="I61" s="258"/>
      <c r="J61" s="260"/>
      <c r="K61" s="237"/>
      <c r="L61" s="240"/>
      <c r="M61" s="258"/>
      <c r="N61" s="260"/>
      <c r="O61" s="237"/>
      <c r="P61" s="240"/>
      <c r="Q61" s="46"/>
      <c r="R61" s="47"/>
      <c r="S61" s="136">
        <f>COUNTIF(T59:AD61,"=0")</f>
        <v>31</v>
      </c>
      <c r="T61" s="98">
        <f>IF(COUNTIF(F60,"*区*")=0,IF(ISBLANK(B61),8,0),0)</f>
        <v>8</v>
      </c>
      <c r="U61" s="98">
        <f>IF(COUNTIF(F60,"*区*")=0,IF(ISBLANK(E61),9,0),0)</f>
        <v>9</v>
      </c>
      <c r="V61" s="98">
        <v>0</v>
      </c>
      <c r="W61" s="98">
        <v>0</v>
      </c>
      <c r="X61" s="98">
        <v>0</v>
      </c>
      <c r="Y61" s="98">
        <v>0</v>
      </c>
      <c r="Z61" s="94">
        <v>0</v>
      </c>
      <c r="AA61" s="94">
        <v>0</v>
      </c>
      <c r="AB61" s="94">
        <v>0</v>
      </c>
      <c r="AC61" s="94">
        <v>0</v>
      </c>
      <c r="AD61" s="94">
        <v>0</v>
      </c>
      <c r="AE61" s="94"/>
      <c r="AF61" s="128">
        <f>COUNTIF(AG59:AK61,"=0")</f>
        <v>11</v>
      </c>
      <c r="AG61" s="98">
        <v>0</v>
      </c>
      <c r="AH61" s="98">
        <v>0</v>
      </c>
      <c r="AI61" s="98">
        <v>0</v>
      </c>
      <c r="AJ61" s="98">
        <v>0</v>
      </c>
      <c r="AK61" s="97">
        <v>0</v>
      </c>
      <c r="AL61" s="98"/>
      <c r="AM61" s="138">
        <f>COUNTIF(AN59:AR61,"=0")</f>
        <v>14</v>
      </c>
      <c r="AN61" s="140">
        <f>IF(I59=M59,IF(J59=N59,29,0),0)</f>
        <v>29</v>
      </c>
      <c r="AO61" s="140">
        <f>IF(AF60=0,0,IF(ISBLANK(N59),0,20))</f>
        <v>0</v>
      </c>
      <c r="AP61" s="140">
        <f>IF(AF60=0,0,IF(ISBLANK(O59),0,20))</f>
        <v>0</v>
      </c>
      <c r="AQ61" s="140">
        <v>0</v>
      </c>
      <c r="AR61" s="140">
        <v>0</v>
      </c>
      <c r="AS61" s="98"/>
      <c r="AT61" s="96"/>
      <c r="AU61" s="99"/>
      <c r="AV61" s="71"/>
      <c r="AW61" s="71"/>
      <c r="AX61" s="71"/>
      <c r="AY61" s="71"/>
      <c r="AZ61" s="71">
        <v>62</v>
      </c>
      <c r="BA61" s="71">
        <v>60</v>
      </c>
      <c r="BB61" s="71"/>
      <c r="BC61" s="71"/>
      <c r="BD61" s="71"/>
      <c r="BE61" s="71"/>
      <c r="BF61" s="71"/>
      <c r="BG61" s="78"/>
      <c r="BH61" s="91"/>
      <c r="BI61" s="82"/>
      <c r="BJ61" s="82"/>
      <c r="BK61" s="78"/>
      <c r="BL61" s="91"/>
    </row>
    <row r="62" spans="1:64" ht="13.15" thickTop="1" x14ac:dyDescent="0.25">
      <c r="A62" s="274">
        <v>15</v>
      </c>
      <c r="B62" s="261"/>
      <c r="C62" s="261"/>
      <c r="D62" s="274" t="str">
        <f>PHONETIC(B62)&amp;" "&amp; PHONETIC(C62)</f>
        <v xml:space="preserve"> </v>
      </c>
      <c r="E62" s="48"/>
      <c r="F62" s="49"/>
      <c r="G62" s="38" t="str">
        <f>IF(ISBLANK(F62),"",IF(MONTH($AM$2)&gt;MONTH(F62),YEAR($AM$2)-YEAR(F62),IF(MONTH($AM$2)&lt;MONTH(F62),YEAR($AM$2)-YEAR(F62)-1,IF(DAY($AM$2)&gt;=DAY(F62),YEAR($AM$2)-YEAR(F62),YEAR($AM$2)-YEAR(F62)-1))))</f>
        <v/>
      </c>
      <c r="H62" s="50" t="str">
        <f>IF(S62&gt;0,VLOOKUP(S62,$BV$2:$BY$30,4),"-")</f>
        <v>-</v>
      </c>
      <c r="I62" s="269"/>
      <c r="J62" s="261"/>
      <c r="K62" s="264"/>
      <c r="L62" s="243" t="str">
        <f>IF(AF62&gt;0,VLOOKUP(AF62,$BV$2:$BY$30,4),"-")</f>
        <v>-</v>
      </c>
      <c r="M62" s="269"/>
      <c r="N62" s="261"/>
      <c r="O62" s="264"/>
      <c r="P62" s="243" t="str">
        <f>IF(AM62&gt;0,VLOOKUP(AM62,$BV$2:$BY$30,4),"-")</f>
        <v>-</v>
      </c>
      <c r="Q62" s="51"/>
      <c r="R62" s="51"/>
      <c r="S62" s="137">
        <f>IF(S63&gt;0,SMALL(T62:AD64,S64+1),0)</f>
        <v>0</v>
      </c>
      <c r="T62" s="95">
        <f>IF(ISBLANK(B62),0,IF(ISBLANK(E62),2,0))</f>
        <v>0</v>
      </c>
      <c r="U62" s="95">
        <f>IF(ISBLANK(B62),0,IF(ISBLANK(F62),3,0))</f>
        <v>0</v>
      </c>
      <c r="V62" s="95">
        <f>IF(ISBLANK(B62),0,IF(G62&lt;=17,4,0))</f>
        <v>0</v>
      </c>
      <c r="W62" s="95">
        <v>0</v>
      </c>
      <c r="X62" s="95">
        <v>0</v>
      </c>
      <c r="Y62" s="94">
        <v>0</v>
      </c>
      <c r="Z62" s="95">
        <v>0</v>
      </c>
      <c r="AA62" s="95">
        <v>0</v>
      </c>
      <c r="AB62" s="95">
        <v>0</v>
      </c>
      <c r="AC62" s="95">
        <v>0</v>
      </c>
      <c r="AD62" s="95">
        <v>0</v>
      </c>
      <c r="AE62" s="95"/>
      <c r="AF62" s="127">
        <f>IF(AF63&gt;0,SMALL(AG62:AK64,AF64+1),0)</f>
        <v>0</v>
      </c>
      <c r="AG62" s="102">
        <f>IF(ISBLANK(I62),10,0)</f>
        <v>10</v>
      </c>
      <c r="AH62" s="102">
        <f>IF(ISBLANK(J62),11,0)</f>
        <v>11</v>
      </c>
      <c r="AI62" s="102">
        <f>IF(ISBLANK(K62),13,0)</f>
        <v>13</v>
      </c>
      <c r="AJ62" s="102">
        <f>IF(ISNUMBER(K62),0,17)</f>
        <v>17</v>
      </c>
      <c r="AK62" s="101">
        <v>0</v>
      </c>
      <c r="AL62" s="102"/>
      <c r="AM62" s="141">
        <f>IF(AM63&gt;0,SMALL(AN62:AR64,AM64+1),0)</f>
        <v>0</v>
      </c>
      <c r="AN62" s="142">
        <f>IF(AF63=0,IF(ISBLANK(M62),IF(ISBLANK(N62),IF(ISBLANK(O62),0,21),21),0))</f>
        <v>0</v>
      </c>
      <c r="AO62" s="142">
        <f>IF(ISBLANK(M62),IF(ISBLANK(N62),0,22),IF(ISBLANK(N62),22,0))</f>
        <v>0</v>
      </c>
      <c r="AP62" s="142">
        <f>IF(ISBLANK(M62),0,IF(ISBLANK(O62),24,0))</f>
        <v>0</v>
      </c>
      <c r="AQ62" s="142">
        <f>IF(ISBLANK(O62),0,IF(ISNUMBER(O62),0,28))</f>
        <v>0</v>
      </c>
      <c r="AR62" s="142">
        <v>0</v>
      </c>
      <c r="AS62" s="102"/>
      <c r="AT62" s="100" t="e">
        <f>VLOOKUP(G62,$AZ$17:$BA$138,2)</f>
        <v>#N/A</v>
      </c>
      <c r="AU62" s="99"/>
      <c r="AV62" s="71"/>
      <c r="AW62" s="71"/>
      <c r="AX62" s="71"/>
      <c r="AY62" s="71"/>
      <c r="AZ62" s="71">
        <v>63</v>
      </c>
      <c r="BA62" s="71">
        <v>60</v>
      </c>
      <c r="BB62" s="71"/>
      <c r="BC62" s="71"/>
      <c r="BD62" s="71"/>
      <c r="BE62" s="71"/>
      <c r="BF62" s="71">
        <f>IF(E62="男",100,IF(E62="女",200,0))</f>
        <v>0</v>
      </c>
      <c r="BG62" s="78">
        <f>IF(I62="自由形",10,IF(I62="平泳ぎ",20,IF(I62="背泳ぎ",30,IF(I62="バタフライ",40,IF(I62="個人メドレー",50,0)))))</f>
        <v>0</v>
      </c>
      <c r="BH62" s="91">
        <f>IF(J62=25,1,IF(J62=50,2,IF(J62=100,3,0)))</f>
        <v>0</v>
      </c>
      <c r="BI62" s="82">
        <f>IF(M62="自由形",10,IF(M62="平泳ぎ",20,IF(M62="背泳ぎ",30,IF(M62="バタフライ",40,IF(M62="個人メドレー",50,0)))))</f>
        <v>0</v>
      </c>
      <c r="BJ62" s="82">
        <f>IF(N62=25,1,IF(N62=50,2,IF(N62=100,3,0)))</f>
        <v>0</v>
      </c>
      <c r="BK62" s="78">
        <f>BF62+BG62+BH62</f>
        <v>0</v>
      </c>
      <c r="BL62" s="91">
        <f>BF62+BI62+BJ62</f>
        <v>0</v>
      </c>
    </row>
    <row r="63" spans="1:64" x14ac:dyDescent="0.25">
      <c r="A63" s="275"/>
      <c r="B63" s="277"/>
      <c r="C63" s="279"/>
      <c r="D63" s="278"/>
      <c r="E63" s="54"/>
      <c r="F63" s="287"/>
      <c r="G63" s="247"/>
      <c r="H63" s="55"/>
      <c r="I63" s="270"/>
      <c r="J63" s="262"/>
      <c r="K63" s="265"/>
      <c r="L63" s="244"/>
      <c r="M63" s="270"/>
      <c r="N63" s="262"/>
      <c r="O63" s="265"/>
      <c r="P63" s="244"/>
      <c r="Q63" s="51"/>
      <c r="R63" s="51"/>
      <c r="S63" s="137">
        <f>IF(ISBLANK(B62),0,COUNTIF(T62:AD64,"&gt;0"))</f>
        <v>0</v>
      </c>
      <c r="T63" s="95">
        <f>IF(ISBLANK(B62),0,IF(ISBLANK(E63),5,0))</f>
        <v>0</v>
      </c>
      <c r="U63" s="95">
        <f>IF(ISBLANK(B62),0,IF(ISBLANK(F63),6,0))</f>
        <v>0</v>
      </c>
      <c r="V63" s="95">
        <f>IF(ISBLANK(B62),0,IF(ISBLANK(H63),7,0))</f>
        <v>0</v>
      </c>
      <c r="W63" s="95">
        <v>0</v>
      </c>
      <c r="X63" s="95">
        <v>0</v>
      </c>
      <c r="Y63" s="95">
        <f>IF(ISBLANK(B59),IF(ISBLANK(B62),0,1),0)</f>
        <v>0</v>
      </c>
      <c r="Z63" s="95">
        <v>0</v>
      </c>
      <c r="AA63" s="95">
        <v>0</v>
      </c>
      <c r="AB63" s="95">
        <v>0</v>
      </c>
      <c r="AC63" s="95">
        <v>0</v>
      </c>
      <c r="AD63" s="95">
        <v>0</v>
      </c>
      <c r="AE63" s="95"/>
      <c r="AF63" s="127">
        <f>IF(ISBLANK(B62),0,COUNTIF(AG62:AK64,"&gt;0"))</f>
        <v>0</v>
      </c>
      <c r="AG63" s="102">
        <f>IF(I62="個人メドレー",IF(J62&lt;&gt;100,12,0),0)</f>
        <v>0</v>
      </c>
      <c r="AH63" s="102">
        <f>IF(J62=25,IF(K62&lt;1000,14,0),0)</f>
        <v>0</v>
      </c>
      <c r="AI63" s="102">
        <f>IF(J62=50,IF(K62&lt;2000,15,0),0)</f>
        <v>0</v>
      </c>
      <c r="AJ63" s="102">
        <f>IF(J62=100,IF(K62&lt;4500,16,0),0)</f>
        <v>0</v>
      </c>
      <c r="AK63" s="101">
        <v>0</v>
      </c>
      <c r="AL63" s="102"/>
      <c r="AM63" s="141">
        <f>IF(ISBLANK(B62),0,IF(AF63=0,COUNTIF(AN62:AR64,"&gt;0"),COUNTIF(AN64:AP64,"&gt;0")))</f>
        <v>0</v>
      </c>
      <c r="AN63" s="142">
        <f>IF(M62="個人メドレー",IF(N62&lt;&gt;100,23,0),0)</f>
        <v>0</v>
      </c>
      <c r="AO63" s="142">
        <f>IF(N62=25,IF(O62&lt;1000,25,0),0)</f>
        <v>0</v>
      </c>
      <c r="AP63" s="142">
        <f>IF(N62=50,IF(O62&lt;2000,26,0),0)</f>
        <v>0</v>
      </c>
      <c r="AQ63" s="142">
        <f>IF(N62=100,IF(O62&lt;4500,27,0),0)</f>
        <v>0</v>
      </c>
      <c r="AR63" s="142">
        <v>0</v>
      </c>
      <c r="AS63" s="102"/>
      <c r="AT63" s="100"/>
      <c r="AU63" s="99"/>
      <c r="AV63" s="71"/>
      <c r="AW63" s="71"/>
      <c r="AX63" s="71"/>
      <c r="AY63" s="71"/>
      <c r="AZ63" s="71">
        <v>64</v>
      </c>
      <c r="BA63" s="71">
        <v>60</v>
      </c>
      <c r="BB63" s="71"/>
      <c r="BC63" s="71"/>
      <c r="BD63" s="71"/>
      <c r="BE63" s="71"/>
      <c r="BF63" s="71"/>
      <c r="BG63" s="78"/>
      <c r="BH63" s="91"/>
      <c r="BI63" s="82"/>
      <c r="BJ63" s="82"/>
      <c r="BK63" s="78"/>
      <c r="BL63" s="91"/>
    </row>
    <row r="64" spans="1:64" ht="13.15" thickBot="1" x14ac:dyDescent="0.3">
      <c r="A64" s="276"/>
      <c r="B64" s="248"/>
      <c r="C64" s="249"/>
      <c r="D64" s="250"/>
      <c r="E64" s="251"/>
      <c r="F64" s="252"/>
      <c r="G64" s="253"/>
      <c r="H64" s="56"/>
      <c r="I64" s="271"/>
      <c r="J64" s="263"/>
      <c r="K64" s="266"/>
      <c r="L64" s="245"/>
      <c r="M64" s="271"/>
      <c r="N64" s="263"/>
      <c r="O64" s="266"/>
      <c r="P64" s="245"/>
      <c r="Q64" s="52"/>
      <c r="R64" s="53"/>
      <c r="S64" s="132">
        <f>COUNTIF(T62:AD64,"=0")</f>
        <v>31</v>
      </c>
      <c r="T64" s="102">
        <f>IF(COUNTIF(F63,"*区*")=0,IF(ISBLANK(B64),8,0),0)</f>
        <v>8</v>
      </c>
      <c r="U64" s="102">
        <f>IF(COUNTIF(F63,"*区*")=0,IF(ISBLANK(E64),9,0),0)</f>
        <v>9</v>
      </c>
      <c r="V64" s="102">
        <v>0</v>
      </c>
      <c r="W64" s="102">
        <v>0</v>
      </c>
      <c r="X64" s="102">
        <v>0</v>
      </c>
      <c r="Y64" s="102">
        <v>0</v>
      </c>
      <c r="Z64" s="95">
        <v>0</v>
      </c>
      <c r="AA64" s="95">
        <v>0</v>
      </c>
      <c r="AB64" s="95">
        <v>0</v>
      </c>
      <c r="AC64" s="95">
        <v>0</v>
      </c>
      <c r="AD64" s="95">
        <v>0</v>
      </c>
      <c r="AE64" s="95"/>
      <c r="AF64" s="127">
        <f>COUNTIF(AG62:AK64,"=0")</f>
        <v>11</v>
      </c>
      <c r="AG64" s="102">
        <v>0</v>
      </c>
      <c r="AH64" s="102">
        <v>0</v>
      </c>
      <c r="AI64" s="102">
        <v>0</v>
      </c>
      <c r="AJ64" s="102">
        <v>0</v>
      </c>
      <c r="AK64" s="101">
        <v>0</v>
      </c>
      <c r="AL64" s="102"/>
      <c r="AM64" s="141">
        <f>COUNTIF(AN62:AR64,"=0")</f>
        <v>14</v>
      </c>
      <c r="AN64" s="142">
        <f>IF(I62=M62,IF(J62=N62,29,0),0)</f>
        <v>29</v>
      </c>
      <c r="AO64" s="142">
        <f>IF(AF63=0,0,IF(ISBLANK(N62),0,20))</f>
        <v>0</v>
      </c>
      <c r="AP64" s="142">
        <f>IF(AF63=0,0,IF(ISBLANK(O62),0,20))</f>
        <v>0</v>
      </c>
      <c r="AQ64" s="142">
        <v>0</v>
      </c>
      <c r="AR64" s="142">
        <v>0</v>
      </c>
      <c r="AS64" s="102"/>
      <c r="AT64" s="100"/>
      <c r="AU64" s="99"/>
      <c r="AV64" s="71"/>
      <c r="AW64" s="71"/>
      <c r="AX64" s="71"/>
      <c r="AY64" s="71"/>
      <c r="AZ64" s="71">
        <v>65</v>
      </c>
      <c r="BA64" s="71">
        <v>65</v>
      </c>
      <c r="BB64" s="71"/>
      <c r="BC64" s="71"/>
      <c r="BD64" s="71"/>
      <c r="BE64" s="71"/>
      <c r="BF64" s="71"/>
      <c r="BG64" s="78"/>
      <c r="BH64" s="91"/>
      <c r="BI64" s="82"/>
      <c r="BJ64" s="82"/>
      <c r="BK64" s="78"/>
      <c r="BL64" s="91"/>
    </row>
    <row r="65" spans="1:64" ht="13.15" thickTop="1" x14ac:dyDescent="0.25">
      <c r="A65" s="211">
        <v>16</v>
      </c>
      <c r="B65" s="254"/>
      <c r="C65" s="254"/>
      <c r="D65" s="211" t="str">
        <f>PHONETIC(B65)&amp;" "&amp; PHONETIC(C65)</f>
        <v xml:space="preserve"> </v>
      </c>
      <c r="E65" s="43"/>
      <c r="F65" s="40"/>
      <c r="G65" s="37" t="str">
        <f>IF(ISBLANK(F65),"",IF(MONTH($AM$2)&gt;MONTH(F65),YEAR($AM$2)-YEAR(F65),IF(MONTH($AM$2)&lt;MONTH(F65),YEAR($AM$2)-YEAR(F65)-1,IF(DAY($AM$2)&gt;=DAY(F65),YEAR($AM$2)-YEAR(F65),YEAR($AM$2)-YEAR(F65)-1))))</f>
        <v/>
      </c>
      <c r="H65" s="42" t="str">
        <f>IF(S65&gt;0,VLOOKUP(S65,$BV$2:$BY$30,4),"-")</f>
        <v>-</v>
      </c>
      <c r="I65" s="256"/>
      <c r="J65" s="254"/>
      <c r="K65" s="235"/>
      <c r="L65" s="238" t="str">
        <f>IF(AF65&gt;0,VLOOKUP(AF65,$BV$2:$BY$30,4),"-")</f>
        <v>-</v>
      </c>
      <c r="M65" s="256"/>
      <c r="N65" s="254"/>
      <c r="O65" s="235"/>
      <c r="P65" s="238" t="str">
        <f>IF(AM65&gt;0,VLOOKUP(AM65,$BV$2:$BY$30,4),"-")</f>
        <v>-</v>
      </c>
      <c r="Q65" s="45"/>
      <c r="R65" s="45"/>
      <c r="S65" s="135">
        <f>IF(S66&gt;0,SMALL(T65:AD67,S67+1),0)</f>
        <v>0</v>
      </c>
      <c r="T65" s="94">
        <f>IF(ISBLANK(B65),0,IF(ISBLANK(E65),2,0))</f>
        <v>0</v>
      </c>
      <c r="U65" s="94">
        <f>IF(ISBLANK(B65),0,IF(ISBLANK(F65),3,0))</f>
        <v>0</v>
      </c>
      <c r="V65" s="94">
        <f>IF(ISBLANK(B65),0,IF(G65&lt;=17,4,0))</f>
        <v>0</v>
      </c>
      <c r="W65" s="94">
        <v>0</v>
      </c>
      <c r="X65" s="94">
        <v>0</v>
      </c>
      <c r="Y65" s="94">
        <v>0</v>
      </c>
      <c r="Z65" s="94">
        <v>0</v>
      </c>
      <c r="AA65" s="94">
        <v>0</v>
      </c>
      <c r="AB65" s="94">
        <v>0</v>
      </c>
      <c r="AC65" s="94">
        <v>0</v>
      </c>
      <c r="AD65" s="94">
        <v>0</v>
      </c>
      <c r="AE65" s="94"/>
      <c r="AF65" s="128">
        <f>IF(AF66&gt;0,SMALL(AG65:AK67,AF67+1),0)</f>
        <v>0</v>
      </c>
      <c r="AG65" s="98">
        <f>IF(ISBLANK(I65),10,0)</f>
        <v>10</v>
      </c>
      <c r="AH65" s="98">
        <f>IF(ISBLANK(J65),11,0)</f>
        <v>11</v>
      </c>
      <c r="AI65" s="98">
        <f>IF(ISBLANK(K65),13,0)</f>
        <v>13</v>
      </c>
      <c r="AJ65" s="98">
        <f>IF(ISNUMBER(K65),0,17)</f>
        <v>17</v>
      </c>
      <c r="AK65" s="97">
        <v>0</v>
      </c>
      <c r="AL65" s="98"/>
      <c r="AM65" s="138">
        <f>IF(AM66&gt;0,SMALL(AN65:AR67,AM67+1),0)</f>
        <v>0</v>
      </c>
      <c r="AN65" s="140">
        <f>IF(AF66=0,IF(ISBLANK(M65),IF(ISBLANK(N65),IF(ISBLANK(O65),0,21),21),0))</f>
        <v>0</v>
      </c>
      <c r="AO65" s="140">
        <f>IF(ISBLANK(M65),IF(ISBLANK(N65),0,22),IF(ISBLANK(N65),22,0))</f>
        <v>0</v>
      </c>
      <c r="AP65" s="140">
        <f>IF(ISBLANK(M65),0,IF(ISBLANK(O65),24,0))</f>
        <v>0</v>
      </c>
      <c r="AQ65" s="140">
        <f>IF(ISBLANK(O65),0,IF(ISNUMBER(O65),0,28))</f>
        <v>0</v>
      </c>
      <c r="AR65" s="140">
        <v>0</v>
      </c>
      <c r="AS65" s="98"/>
      <c r="AT65" s="96" t="e">
        <f>VLOOKUP(G65,$AZ$17:$BA$138,2)</f>
        <v>#N/A</v>
      </c>
      <c r="AU65" s="99"/>
      <c r="AV65" s="71"/>
      <c r="AW65" s="71"/>
      <c r="AX65" s="71"/>
      <c r="AY65" s="71"/>
      <c r="AZ65" s="71">
        <v>66</v>
      </c>
      <c r="BA65" s="71">
        <v>65</v>
      </c>
      <c r="BB65" s="71"/>
      <c r="BC65" s="71"/>
      <c r="BD65" s="71"/>
      <c r="BE65" s="71"/>
      <c r="BF65" s="71">
        <f>IF(E65="男",100,IF(E65="女",200,0))</f>
        <v>0</v>
      </c>
      <c r="BG65" s="78">
        <f>IF(I65="自由形",10,IF(I65="平泳ぎ",20,IF(I65="背泳ぎ",30,IF(I65="バタフライ",40,IF(I65="個人メドレー",50,0)))))</f>
        <v>0</v>
      </c>
      <c r="BH65" s="91">
        <f>IF(J65=25,1,IF(J65=50,2,IF(J65=100,3,0)))</f>
        <v>0</v>
      </c>
      <c r="BI65" s="82">
        <f>IF(M65="自由形",10,IF(M65="平泳ぎ",20,IF(M65="背泳ぎ",30,IF(M65="バタフライ",40,IF(M65="個人メドレー",50,0)))))</f>
        <v>0</v>
      </c>
      <c r="BJ65" s="82">
        <f>IF(N65=25,1,IF(N65=50,2,IF(N65=100,3,0)))</f>
        <v>0</v>
      </c>
      <c r="BK65" s="78">
        <f>BF65+BG65+BH65</f>
        <v>0</v>
      </c>
      <c r="BL65" s="91">
        <f>BF65+BI65+BJ65</f>
        <v>0</v>
      </c>
    </row>
    <row r="66" spans="1:64" x14ac:dyDescent="0.25">
      <c r="A66" s="212"/>
      <c r="B66" s="255"/>
      <c r="C66" s="279"/>
      <c r="D66" s="216"/>
      <c r="E66" s="44"/>
      <c r="F66" s="286"/>
      <c r="G66" s="242"/>
      <c r="H66" s="39"/>
      <c r="I66" s="257"/>
      <c r="J66" s="259"/>
      <c r="K66" s="236"/>
      <c r="L66" s="239"/>
      <c r="M66" s="257"/>
      <c r="N66" s="259"/>
      <c r="O66" s="236"/>
      <c r="P66" s="239"/>
      <c r="Q66" s="45"/>
      <c r="R66" s="45"/>
      <c r="S66" s="135">
        <f>IF(ISBLANK(B65),0,COUNTIF(T65:AD67,"&gt;0"))</f>
        <v>0</v>
      </c>
      <c r="T66" s="94">
        <f>IF(ISBLANK(B65),0,IF(ISBLANK(E66),5,0))</f>
        <v>0</v>
      </c>
      <c r="U66" s="94">
        <f>IF(ISBLANK(B65),0,IF(ISBLANK(F66),6,0))</f>
        <v>0</v>
      </c>
      <c r="V66" s="94">
        <f>IF(ISBLANK(B65),0,IF(ISBLANK(H66),7,0))</f>
        <v>0</v>
      </c>
      <c r="W66" s="94">
        <v>0</v>
      </c>
      <c r="X66" s="94">
        <v>0</v>
      </c>
      <c r="Y66" s="94">
        <f>IF(ISBLANK(B62),IF(ISBLANK(B65),0,1),0)</f>
        <v>0</v>
      </c>
      <c r="Z66" s="94">
        <v>0</v>
      </c>
      <c r="AA66" s="94">
        <v>0</v>
      </c>
      <c r="AB66" s="94">
        <v>0</v>
      </c>
      <c r="AC66" s="94">
        <v>0</v>
      </c>
      <c r="AD66" s="94">
        <v>0</v>
      </c>
      <c r="AE66" s="94"/>
      <c r="AF66" s="128">
        <f>IF(ISBLANK(B65),0,COUNTIF(AG65:AK67,"&gt;0"))</f>
        <v>0</v>
      </c>
      <c r="AG66" s="98">
        <f>IF(I65="個人メドレー",IF(J65&lt;&gt;100,12,0),0)</f>
        <v>0</v>
      </c>
      <c r="AH66" s="98">
        <f>IF(J65=25,IF(K65&lt;1000,14,0),0)</f>
        <v>0</v>
      </c>
      <c r="AI66" s="98">
        <f>IF(J65=50,IF(K65&lt;2000,15,0),0)</f>
        <v>0</v>
      </c>
      <c r="AJ66" s="98">
        <f>IF(J65=100,IF(K65&lt;4500,16,0),0)</f>
        <v>0</v>
      </c>
      <c r="AK66" s="97">
        <v>0</v>
      </c>
      <c r="AL66" s="98"/>
      <c r="AM66" s="138">
        <f>IF(ISBLANK(B65),0,IF(AF66=0,COUNTIF(AN65:AR67,"&gt;0"),COUNTIF(AN67:AP67,"&gt;0")))</f>
        <v>0</v>
      </c>
      <c r="AN66" s="140">
        <f>IF(M65="個人メドレー",IF(N65&lt;&gt;100,23,0),0)</f>
        <v>0</v>
      </c>
      <c r="AO66" s="140">
        <f>IF(N65=25,IF(O65&lt;1000,25,0),0)</f>
        <v>0</v>
      </c>
      <c r="AP66" s="140">
        <f>IF(N65=50,IF(O65&lt;2000,26,0),0)</f>
        <v>0</v>
      </c>
      <c r="AQ66" s="140">
        <f>IF(N65=100,IF(O65&lt;4500,27,0),0)</f>
        <v>0</v>
      </c>
      <c r="AR66" s="140">
        <v>0</v>
      </c>
      <c r="AS66" s="98"/>
      <c r="AT66" s="96"/>
      <c r="AU66" s="99"/>
      <c r="AV66" s="71"/>
      <c r="AW66" s="71"/>
      <c r="AX66" s="71"/>
      <c r="AY66" s="71"/>
      <c r="AZ66" s="71">
        <v>67</v>
      </c>
      <c r="BA66" s="71">
        <v>65</v>
      </c>
      <c r="BB66" s="71"/>
      <c r="BC66" s="71"/>
      <c r="BD66" s="71"/>
      <c r="BE66" s="71"/>
      <c r="BF66" s="71"/>
      <c r="BG66" s="78"/>
      <c r="BH66" s="91"/>
      <c r="BI66" s="82"/>
      <c r="BJ66" s="82"/>
      <c r="BK66" s="78"/>
      <c r="BL66" s="91"/>
    </row>
    <row r="67" spans="1:64" ht="13.15" thickBot="1" x14ac:dyDescent="0.3">
      <c r="A67" s="213"/>
      <c r="B67" s="280"/>
      <c r="C67" s="281"/>
      <c r="D67" s="282"/>
      <c r="E67" s="283"/>
      <c r="F67" s="284"/>
      <c r="G67" s="285"/>
      <c r="H67" s="41"/>
      <c r="I67" s="258"/>
      <c r="J67" s="260"/>
      <c r="K67" s="237"/>
      <c r="L67" s="240"/>
      <c r="M67" s="258"/>
      <c r="N67" s="260"/>
      <c r="O67" s="237"/>
      <c r="P67" s="240"/>
      <c r="Q67" s="46"/>
      <c r="R67" s="47"/>
      <c r="S67" s="136">
        <f>COUNTIF(T65:AD67,"=0")</f>
        <v>31</v>
      </c>
      <c r="T67" s="98">
        <f>IF(COUNTIF(F66,"*区*")=0,IF(ISBLANK(B67),8,0),0)</f>
        <v>8</v>
      </c>
      <c r="U67" s="98">
        <f>IF(COUNTIF(F66,"*区*")=0,IF(ISBLANK(E67),9,0),0)</f>
        <v>9</v>
      </c>
      <c r="V67" s="98">
        <v>0</v>
      </c>
      <c r="W67" s="98">
        <v>0</v>
      </c>
      <c r="X67" s="98">
        <v>0</v>
      </c>
      <c r="Y67" s="98">
        <v>0</v>
      </c>
      <c r="Z67" s="94">
        <v>0</v>
      </c>
      <c r="AA67" s="94">
        <v>0</v>
      </c>
      <c r="AB67" s="94">
        <v>0</v>
      </c>
      <c r="AC67" s="94">
        <v>0</v>
      </c>
      <c r="AD67" s="94">
        <v>0</v>
      </c>
      <c r="AE67" s="94"/>
      <c r="AF67" s="128">
        <f>COUNTIF(AG65:AK67,"=0")</f>
        <v>11</v>
      </c>
      <c r="AG67" s="98">
        <v>0</v>
      </c>
      <c r="AH67" s="98">
        <v>0</v>
      </c>
      <c r="AI67" s="98">
        <v>0</v>
      </c>
      <c r="AJ67" s="98">
        <v>0</v>
      </c>
      <c r="AK67" s="97">
        <v>0</v>
      </c>
      <c r="AL67" s="98"/>
      <c r="AM67" s="138">
        <f>COUNTIF(AN65:AR67,"=0")</f>
        <v>14</v>
      </c>
      <c r="AN67" s="140">
        <f>IF(I65=M65,IF(J65=N65,29,0),0)</f>
        <v>29</v>
      </c>
      <c r="AO67" s="140">
        <f>IF(AF66=0,0,IF(ISBLANK(N65),0,20))</f>
        <v>0</v>
      </c>
      <c r="AP67" s="140">
        <f>IF(AF66=0,0,IF(ISBLANK(O65),0,20))</f>
        <v>0</v>
      </c>
      <c r="AQ67" s="140">
        <v>0</v>
      </c>
      <c r="AR67" s="140">
        <v>0</v>
      </c>
      <c r="AS67" s="98"/>
      <c r="AT67" s="96"/>
      <c r="AU67" s="99"/>
      <c r="AV67" s="71"/>
      <c r="AW67" s="71"/>
      <c r="AX67" s="71"/>
      <c r="AY67" s="71"/>
      <c r="AZ67" s="71">
        <v>68</v>
      </c>
      <c r="BA67" s="71">
        <v>65</v>
      </c>
      <c r="BB67" s="71"/>
      <c r="BC67" s="71"/>
      <c r="BD67" s="71"/>
      <c r="BE67" s="71"/>
      <c r="BF67" s="71"/>
      <c r="BG67" s="78"/>
      <c r="BH67" s="91"/>
      <c r="BI67" s="82"/>
      <c r="BJ67" s="82"/>
      <c r="BK67" s="78"/>
      <c r="BL67" s="91"/>
    </row>
    <row r="68" spans="1:64" ht="13.15" thickTop="1" x14ac:dyDescent="0.25">
      <c r="A68" s="274">
        <v>17</v>
      </c>
      <c r="B68" s="261"/>
      <c r="C68" s="261"/>
      <c r="D68" s="274" t="str">
        <f>PHONETIC(B68)&amp;" "&amp; PHONETIC(C68)</f>
        <v xml:space="preserve"> </v>
      </c>
      <c r="E68" s="48"/>
      <c r="F68" s="49"/>
      <c r="G68" s="38" t="str">
        <f>IF(ISBLANK(F68),"",IF(MONTH($AM$2)&gt;MONTH(F68),YEAR($AM$2)-YEAR(F68),IF(MONTH($AM$2)&lt;MONTH(F68),YEAR($AM$2)-YEAR(F68)-1,IF(DAY($AM$2)&gt;=DAY(F68),YEAR($AM$2)-YEAR(F68),YEAR($AM$2)-YEAR(F68)-1))))</f>
        <v/>
      </c>
      <c r="H68" s="50" t="str">
        <f>IF(S68&gt;0,VLOOKUP(S68,$BV$2:$BY$30,4),"-")</f>
        <v>-</v>
      </c>
      <c r="I68" s="269"/>
      <c r="J68" s="261"/>
      <c r="K68" s="264"/>
      <c r="L68" s="243" t="str">
        <f>IF(AF68&gt;0,VLOOKUP(AF68,$BV$2:$BY$30,4),"-")</f>
        <v>-</v>
      </c>
      <c r="M68" s="269"/>
      <c r="N68" s="261"/>
      <c r="O68" s="264"/>
      <c r="P68" s="243" t="str">
        <f>IF(AM68&gt;0,VLOOKUP(AM68,$BV$2:$BY$30,4),"-")</f>
        <v>-</v>
      </c>
      <c r="Q68" s="51"/>
      <c r="R68" s="51"/>
      <c r="S68" s="137">
        <f>IF(S69&gt;0,SMALL(T68:AD70,S70+1),0)</f>
        <v>0</v>
      </c>
      <c r="T68" s="95">
        <f>IF(ISBLANK(B68),0,IF(ISBLANK(E68),2,0))</f>
        <v>0</v>
      </c>
      <c r="U68" s="95">
        <f>IF(ISBLANK(B68),0,IF(ISBLANK(F68),3,0))</f>
        <v>0</v>
      </c>
      <c r="V68" s="95">
        <f>IF(ISBLANK(B68),0,IF(G68&lt;=17,4,0))</f>
        <v>0</v>
      </c>
      <c r="W68" s="95">
        <v>0</v>
      </c>
      <c r="X68" s="95">
        <v>0</v>
      </c>
      <c r="Y68" s="94">
        <v>0</v>
      </c>
      <c r="Z68" s="95">
        <v>0</v>
      </c>
      <c r="AA68" s="95">
        <v>0</v>
      </c>
      <c r="AB68" s="95">
        <v>0</v>
      </c>
      <c r="AC68" s="95">
        <v>0</v>
      </c>
      <c r="AD68" s="95">
        <v>0</v>
      </c>
      <c r="AE68" s="95"/>
      <c r="AF68" s="127">
        <f>IF(AF69&gt;0,SMALL(AG68:AK70,AF70+1),0)</f>
        <v>0</v>
      </c>
      <c r="AG68" s="102">
        <f>IF(ISBLANK(I68),10,0)</f>
        <v>10</v>
      </c>
      <c r="AH68" s="102">
        <f>IF(ISBLANK(J68),11,0)</f>
        <v>11</v>
      </c>
      <c r="AI68" s="102">
        <f>IF(ISBLANK(K68),13,0)</f>
        <v>13</v>
      </c>
      <c r="AJ68" s="102">
        <f>IF(ISNUMBER(K68),0,17)</f>
        <v>17</v>
      </c>
      <c r="AK68" s="101">
        <v>0</v>
      </c>
      <c r="AL68" s="102"/>
      <c r="AM68" s="141">
        <f>IF(AM69&gt;0,SMALL(AN68:AR70,AM70+1),0)</f>
        <v>0</v>
      </c>
      <c r="AN68" s="142">
        <f>IF(AF69=0,IF(ISBLANK(M68),IF(ISBLANK(N68),IF(ISBLANK(O68),0,21),21),0))</f>
        <v>0</v>
      </c>
      <c r="AO68" s="142">
        <f>IF(ISBLANK(M68),IF(ISBLANK(N68),0,22),IF(ISBLANK(N68),22,0))</f>
        <v>0</v>
      </c>
      <c r="AP68" s="142">
        <f>IF(ISBLANK(M68),0,IF(ISBLANK(O68),24,0))</f>
        <v>0</v>
      </c>
      <c r="AQ68" s="142">
        <f>IF(ISBLANK(O68),0,IF(ISNUMBER(O68),0,28))</f>
        <v>0</v>
      </c>
      <c r="AR68" s="142">
        <v>0</v>
      </c>
      <c r="AS68" s="102"/>
      <c r="AT68" s="100" t="e">
        <f>VLOOKUP(G68,$AZ$17:$BA$138,2)</f>
        <v>#N/A</v>
      </c>
      <c r="AU68" s="71"/>
      <c r="AV68" s="71"/>
      <c r="AW68" s="71"/>
      <c r="AX68" s="71"/>
      <c r="AY68" s="71"/>
      <c r="AZ68" s="71">
        <v>69</v>
      </c>
      <c r="BA68" s="71">
        <v>65</v>
      </c>
      <c r="BB68" s="71"/>
      <c r="BC68" s="71"/>
      <c r="BD68" s="71"/>
      <c r="BE68" s="71"/>
      <c r="BF68" s="71">
        <f>IF(E68="男",100,IF(E68="女",200,0))</f>
        <v>0</v>
      </c>
      <c r="BG68" s="78">
        <f>IF(I68="自由形",10,IF(I68="平泳ぎ",20,IF(I68="背泳ぎ",30,IF(I68="バタフライ",40,IF(I68="個人メドレー",50,0)))))</f>
        <v>0</v>
      </c>
      <c r="BH68" s="91">
        <f>IF(J68=25,1,IF(J68=50,2,IF(J68=100,3,0)))</f>
        <v>0</v>
      </c>
      <c r="BI68" s="71">
        <f>IF(M68="自由形",10,IF(M68="平泳ぎ",20,IF(M68="背泳ぎ",30,IF(M68="バタフライ",40,IF(M68="個人メドレー",50,0)))))</f>
        <v>0</v>
      </c>
      <c r="BJ68" s="71">
        <f>IF(N68=25,1,IF(N68=50,2,IF(N68=100,3,0)))</f>
        <v>0</v>
      </c>
      <c r="BK68" s="78">
        <f>BF68+BG68+BH68</f>
        <v>0</v>
      </c>
      <c r="BL68" s="91">
        <f>BF68+BI68+BJ68</f>
        <v>0</v>
      </c>
    </row>
    <row r="69" spans="1:64" x14ac:dyDescent="0.25">
      <c r="A69" s="275"/>
      <c r="B69" s="277"/>
      <c r="C69" s="279"/>
      <c r="D69" s="278"/>
      <c r="E69" s="54"/>
      <c r="F69" s="287"/>
      <c r="G69" s="247"/>
      <c r="H69" s="55"/>
      <c r="I69" s="270"/>
      <c r="J69" s="262"/>
      <c r="K69" s="265"/>
      <c r="L69" s="244"/>
      <c r="M69" s="270"/>
      <c r="N69" s="262"/>
      <c r="O69" s="265"/>
      <c r="P69" s="244"/>
      <c r="Q69" s="51"/>
      <c r="R69" s="51"/>
      <c r="S69" s="137">
        <f>IF(ISBLANK(B68),0,COUNTIF(T68:AD70,"&gt;0"))</f>
        <v>0</v>
      </c>
      <c r="T69" s="95">
        <f>IF(ISBLANK(B68),0,IF(ISBLANK(E69),5,0))</f>
        <v>0</v>
      </c>
      <c r="U69" s="95">
        <f>IF(ISBLANK(B68),0,IF(ISBLANK(F69),6,0))</f>
        <v>0</v>
      </c>
      <c r="V69" s="95">
        <f>IF(ISBLANK(B68),0,IF(ISBLANK(H69),7,0))</f>
        <v>0</v>
      </c>
      <c r="W69" s="95">
        <v>0</v>
      </c>
      <c r="X69" s="95">
        <v>0</v>
      </c>
      <c r="Y69" s="95">
        <f>IF(ISBLANK(B65),IF(ISBLANK(B68),0,1),0)</f>
        <v>0</v>
      </c>
      <c r="Z69" s="95">
        <v>0</v>
      </c>
      <c r="AA69" s="95">
        <v>0</v>
      </c>
      <c r="AB69" s="95">
        <v>0</v>
      </c>
      <c r="AC69" s="95">
        <v>0</v>
      </c>
      <c r="AD69" s="95">
        <v>0</v>
      </c>
      <c r="AE69" s="95"/>
      <c r="AF69" s="127">
        <f>IF(ISBLANK(B68),0,COUNTIF(AG68:AK70,"&gt;0"))</f>
        <v>0</v>
      </c>
      <c r="AG69" s="102">
        <f>IF(I68="個人メドレー",IF(J68&lt;&gt;100,12,0),0)</f>
        <v>0</v>
      </c>
      <c r="AH69" s="102">
        <f>IF(J68=25,IF(K68&lt;1000,14,0),0)</f>
        <v>0</v>
      </c>
      <c r="AI69" s="102">
        <f>IF(J68=50,IF(K68&lt;2000,15,0),0)</f>
        <v>0</v>
      </c>
      <c r="AJ69" s="102">
        <f>IF(J68=100,IF(K68&lt;4500,16,0),0)</f>
        <v>0</v>
      </c>
      <c r="AK69" s="101">
        <v>0</v>
      </c>
      <c r="AL69" s="102"/>
      <c r="AM69" s="141">
        <f>IF(ISBLANK(B68),0,IF(AF69=0,COUNTIF(AN68:AR70,"&gt;0"),COUNTIF(AN70:AP70,"&gt;0")))</f>
        <v>0</v>
      </c>
      <c r="AN69" s="142">
        <f>IF(M68="個人メドレー",IF(N68&lt;&gt;100,23,0),0)</f>
        <v>0</v>
      </c>
      <c r="AO69" s="142">
        <f>IF(N68=25,IF(O68&lt;1000,25,0),0)</f>
        <v>0</v>
      </c>
      <c r="AP69" s="142">
        <f>IF(N68=50,IF(O68&lt;2000,26,0),0)</f>
        <v>0</v>
      </c>
      <c r="AQ69" s="142">
        <f>IF(N68=100,IF(O68&lt;4500,27,0),0)</f>
        <v>0</v>
      </c>
      <c r="AR69" s="142">
        <v>0</v>
      </c>
      <c r="AS69" s="102"/>
      <c r="AT69" s="100"/>
      <c r="AU69" s="71"/>
      <c r="AV69" s="71"/>
      <c r="AW69" s="71"/>
      <c r="AX69" s="71"/>
      <c r="AY69" s="71"/>
      <c r="AZ69" s="71">
        <v>70</v>
      </c>
      <c r="BA69" s="71">
        <v>70</v>
      </c>
      <c r="BB69" s="71"/>
      <c r="BC69" s="71"/>
      <c r="BD69" s="71"/>
      <c r="BE69" s="71"/>
      <c r="BF69" s="71"/>
      <c r="BG69" s="78"/>
      <c r="BH69" s="91"/>
      <c r="BI69" s="71"/>
      <c r="BJ69" s="71"/>
      <c r="BK69" s="78"/>
      <c r="BL69" s="91"/>
    </row>
    <row r="70" spans="1:64" ht="13.15" thickBot="1" x14ac:dyDescent="0.3">
      <c r="A70" s="276"/>
      <c r="B70" s="248"/>
      <c r="C70" s="249"/>
      <c r="D70" s="250"/>
      <c r="E70" s="251"/>
      <c r="F70" s="252"/>
      <c r="G70" s="253"/>
      <c r="H70" s="56"/>
      <c r="I70" s="271"/>
      <c r="J70" s="263"/>
      <c r="K70" s="266"/>
      <c r="L70" s="245"/>
      <c r="M70" s="271"/>
      <c r="N70" s="263"/>
      <c r="O70" s="266"/>
      <c r="P70" s="245"/>
      <c r="Q70" s="52"/>
      <c r="R70" s="53"/>
      <c r="S70" s="132">
        <f>COUNTIF(T68:AD70,"=0")</f>
        <v>31</v>
      </c>
      <c r="T70" s="102">
        <f>IF(COUNTIF(F69,"*区*")=0,IF(ISBLANK(B70),8,0),0)</f>
        <v>8</v>
      </c>
      <c r="U70" s="102">
        <f>IF(COUNTIF(F69,"*区*")=0,IF(ISBLANK(E70),9,0),0)</f>
        <v>9</v>
      </c>
      <c r="V70" s="102">
        <v>0</v>
      </c>
      <c r="W70" s="102">
        <v>0</v>
      </c>
      <c r="X70" s="102">
        <v>0</v>
      </c>
      <c r="Y70" s="102">
        <v>0</v>
      </c>
      <c r="Z70" s="95">
        <v>0</v>
      </c>
      <c r="AA70" s="95">
        <v>0</v>
      </c>
      <c r="AB70" s="95">
        <v>0</v>
      </c>
      <c r="AC70" s="95">
        <v>0</v>
      </c>
      <c r="AD70" s="95">
        <v>0</v>
      </c>
      <c r="AE70" s="95"/>
      <c r="AF70" s="127">
        <f>COUNTIF(AG68:AK70,"=0")</f>
        <v>11</v>
      </c>
      <c r="AG70" s="102">
        <v>0</v>
      </c>
      <c r="AH70" s="102">
        <v>0</v>
      </c>
      <c r="AI70" s="102">
        <v>0</v>
      </c>
      <c r="AJ70" s="102">
        <v>0</v>
      </c>
      <c r="AK70" s="101">
        <v>0</v>
      </c>
      <c r="AL70" s="102"/>
      <c r="AM70" s="141">
        <f>COUNTIF(AN68:AR70,"=0")</f>
        <v>14</v>
      </c>
      <c r="AN70" s="142">
        <f>IF(I68=M68,IF(J68=N68,29,0),0)</f>
        <v>29</v>
      </c>
      <c r="AO70" s="142">
        <f>IF(AF69=0,0,IF(ISBLANK(N68),0,20))</f>
        <v>0</v>
      </c>
      <c r="AP70" s="142">
        <f>IF(AF69=0,0,IF(ISBLANK(O68),0,20))</f>
        <v>0</v>
      </c>
      <c r="AQ70" s="142">
        <v>0</v>
      </c>
      <c r="AR70" s="142">
        <v>0</v>
      </c>
      <c r="AS70" s="102"/>
      <c r="AT70" s="100"/>
      <c r="AU70" s="71"/>
      <c r="AV70" s="71"/>
      <c r="AW70" s="71"/>
      <c r="AX70" s="71"/>
      <c r="AY70" s="71"/>
      <c r="AZ70" s="71">
        <v>71</v>
      </c>
      <c r="BA70" s="71">
        <v>70</v>
      </c>
      <c r="BB70" s="71"/>
      <c r="BC70" s="71"/>
      <c r="BD70" s="71"/>
      <c r="BE70" s="71"/>
      <c r="BF70" s="71"/>
      <c r="BG70" s="78"/>
      <c r="BH70" s="91"/>
      <c r="BI70" s="71"/>
      <c r="BJ70" s="71"/>
      <c r="BK70" s="78"/>
      <c r="BL70" s="91"/>
    </row>
    <row r="71" spans="1:64" ht="13.15" thickTop="1" x14ac:dyDescent="0.25">
      <c r="A71" s="211">
        <v>18</v>
      </c>
      <c r="B71" s="254"/>
      <c r="C71" s="254"/>
      <c r="D71" s="211" t="str">
        <f>PHONETIC(B71)&amp;" "&amp; PHONETIC(C71)</f>
        <v xml:space="preserve"> </v>
      </c>
      <c r="E71" s="43"/>
      <c r="F71" s="40"/>
      <c r="G71" s="37" t="str">
        <f>IF(ISBLANK(F71),"",IF(MONTH($AM$2)&gt;MONTH(F71),YEAR($AM$2)-YEAR(F71),IF(MONTH($AM$2)&lt;MONTH(F71),YEAR($AM$2)-YEAR(F71)-1,IF(DAY($AM$2)&gt;=DAY(F71),YEAR($AM$2)-YEAR(F71),YEAR($AM$2)-YEAR(F71)-1))))</f>
        <v/>
      </c>
      <c r="H71" s="42" t="str">
        <f>IF(S71&gt;0,VLOOKUP(S71,$BV$2:$BY$30,4),"-")</f>
        <v>-</v>
      </c>
      <c r="I71" s="256"/>
      <c r="J71" s="254"/>
      <c r="K71" s="235"/>
      <c r="L71" s="238" t="str">
        <f>IF(AF71&gt;0,VLOOKUP(AF71,$BV$2:$BY$30,4),"-")</f>
        <v>-</v>
      </c>
      <c r="M71" s="256"/>
      <c r="N71" s="254"/>
      <c r="O71" s="235"/>
      <c r="P71" s="238" t="str">
        <f>IF(AM71&gt;0,VLOOKUP(AM71,$BV$2:$BY$30,4),"-")</f>
        <v>-</v>
      </c>
      <c r="Q71" s="45"/>
      <c r="R71" s="45"/>
      <c r="S71" s="135">
        <f>IF(S72&gt;0,SMALL(T71:AD73,S73+1),0)</f>
        <v>0</v>
      </c>
      <c r="T71" s="94">
        <f>IF(ISBLANK(B71),0,IF(ISBLANK(E71),2,0))</f>
        <v>0</v>
      </c>
      <c r="U71" s="94">
        <f>IF(ISBLANK(B71),0,IF(ISBLANK(F71),3,0))</f>
        <v>0</v>
      </c>
      <c r="V71" s="94">
        <f>IF(ISBLANK(B71),0,IF(G71&lt;=17,4,0))</f>
        <v>0</v>
      </c>
      <c r="W71" s="94">
        <v>0</v>
      </c>
      <c r="X71" s="94">
        <v>0</v>
      </c>
      <c r="Y71" s="94">
        <v>0</v>
      </c>
      <c r="Z71" s="94">
        <v>0</v>
      </c>
      <c r="AA71" s="94">
        <v>0</v>
      </c>
      <c r="AB71" s="94">
        <v>0</v>
      </c>
      <c r="AC71" s="94">
        <v>0</v>
      </c>
      <c r="AD71" s="94">
        <v>0</v>
      </c>
      <c r="AE71" s="94"/>
      <c r="AF71" s="128">
        <f>IF(AF72&gt;0,SMALL(AG71:AK73,AF73+1),0)</f>
        <v>0</v>
      </c>
      <c r="AG71" s="98">
        <f>IF(ISBLANK(I71),10,0)</f>
        <v>10</v>
      </c>
      <c r="AH71" s="98">
        <f>IF(ISBLANK(J71),11,0)</f>
        <v>11</v>
      </c>
      <c r="AI71" s="98">
        <f>IF(ISBLANK(K71),13,0)</f>
        <v>13</v>
      </c>
      <c r="AJ71" s="98">
        <f>IF(ISNUMBER(K71),0,17)</f>
        <v>17</v>
      </c>
      <c r="AK71" s="97">
        <v>0</v>
      </c>
      <c r="AL71" s="98"/>
      <c r="AM71" s="138">
        <f>IF(AM72&gt;0,SMALL(AN71:AR73,AM73+1),0)</f>
        <v>0</v>
      </c>
      <c r="AN71" s="140">
        <f>IF(AF72=0,IF(ISBLANK(M71),IF(ISBLANK(N71),IF(ISBLANK(O71),0,21),21),0))</f>
        <v>0</v>
      </c>
      <c r="AO71" s="140">
        <f>IF(ISBLANK(M71),IF(ISBLANK(N71),0,22),IF(ISBLANK(N71),22,0))</f>
        <v>0</v>
      </c>
      <c r="AP71" s="140">
        <f>IF(ISBLANK(M71),0,IF(ISBLANK(O71),24,0))</f>
        <v>0</v>
      </c>
      <c r="AQ71" s="140">
        <f>IF(ISBLANK(O71),0,IF(ISNUMBER(O71),0,28))</f>
        <v>0</v>
      </c>
      <c r="AR71" s="140">
        <v>0</v>
      </c>
      <c r="AS71" s="98"/>
      <c r="AT71" s="96" t="e">
        <f>VLOOKUP(G71,$AZ$17:$BA$138,2)</f>
        <v>#N/A</v>
      </c>
      <c r="AU71" s="71"/>
      <c r="AV71" s="71"/>
      <c r="AW71" s="71"/>
      <c r="AX71" s="71"/>
      <c r="AY71" s="71"/>
      <c r="AZ71" s="71">
        <v>72</v>
      </c>
      <c r="BA71" s="71">
        <v>70</v>
      </c>
      <c r="BB71" s="71"/>
      <c r="BC71" s="71"/>
      <c r="BD71" s="71"/>
      <c r="BE71" s="71"/>
      <c r="BF71" s="71">
        <f>IF(E71="男",100,IF(E71="女",200,0))</f>
        <v>0</v>
      </c>
      <c r="BG71" s="78">
        <f>IF(I71="自由形",10,IF(I71="平泳ぎ",20,IF(I71="背泳ぎ",30,IF(I71="バタフライ",40,IF(I71="個人メドレー",50,0)))))</f>
        <v>0</v>
      </c>
      <c r="BH71" s="91">
        <f>IF(J71=25,1,IF(J71=50,2,IF(J71=100,3,0)))</f>
        <v>0</v>
      </c>
      <c r="BI71" s="71">
        <f>IF(M71="自由形",10,IF(M71="平泳ぎ",20,IF(M71="背泳ぎ",30,IF(M71="バタフライ",40,IF(M71="個人メドレー",50,0)))))</f>
        <v>0</v>
      </c>
      <c r="BJ71" s="71">
        <f>IF(N71=25,1,IF(N71=50,2,IF(N71=100,3,0)))</f>
        <v>0</v>
      </c>
      <c r="BK71" s="78">
        <f>BF71+BG71+BH71</f>
        <v>0</v>
      </c>
      <c r="BL71" s="91">
        <f>BF71+BI71+BJ71</f>
        <v>0</v>
      </c>
    </row>
    <row r="72" spans="1:64" x14ac:dyDescent="0.25">
      <c r="A72" s="212"/>
      <c r="B72" s="255"/>
      <c r="C72" s="279"/>
      <c r="D72" s="216"/>
      <c r="E72" s="44"/>
      <c r="F72" s="286"/>
      <c r="G72" s="242"/>
      <c r="H72" s="39"/>
      <c r="I72" s="257"/>
      <c r="J72" s="259"/>
      <c r="K72" s="236"/>
      <c r="L72" s="239"/>
      <c r="M72" s="257"/>
      <c r="N72" s="259"/>
      <c r="O72" s="236"/>
      <c r="P72" s="239"/>
      <c r="Q72" s="45"/>
      <c r="R72" s="45"/>
      <c r="S72" s="135">
        <f>IF(ISBLANK(B71),0,COUNTIF(T71:AD73,"&gt;0"))</f>
        <v>0</v>
      </c>
      <c r="T72" s="94">
        <f>IF(ISBLANK(B71),0,IF(ISBLANK(E72),5,0))</f>
        <v>0</v>
      </c>
      <c r="U72" s="94">
        <f>IF(ISBLANK(B71),0,IF(ISBLANK(F72),6,0))</f>
        <v>0</v>
      </c>
      <c r="V72" s="94">
        <f>IF(ISBLANK(B71),0,IF(ISBLANK(H72),7,0))</f>
        <v>0</v>
      </c>
      <c r="W72" s="94">
        <v>0</v>
      </c>
      <c r="X72" s="94">
        <v>0</v>
      </c>
      <c r="Y72" s="94">
        <f>IF(ISBLANK(B68),IF(ISBLANK(B71),0,1),0)</f>
        <v>0</v>
      </c>
      <c r="Z72" s="94">
        <v>0</v>
      </c>
      <c r="AA72" s="94">
        <v>0</v>
      </c>
      <c r="AB72" s="94">
        <v>0</v>
      </c>
      <c r="AC72" s="94">
        <v>0</v>
      </c>
      <c r="AD72" s="94">
        <v>0</v>
      </c>
      <c r="AE72" s="94"/>
      <c r="AF72" s="128">
        <f>IF(ISBLANK(B71),0,COUNTIF(AG71:AK73,"&gt;0"))</f>
        <v>0</v>
      </c>
      <c r="AG72" s="98">
        <f>IF(I71="個人メドレー",IF(J71&lt;&gt;100,12,0),0)</f>
        <v>0</v>
      </c>
      <c r="AH72" s="98">
        <f>IF(J71=25,IF(K71&lt;1000,14,0),0)</f>
        <v>0</v>
      </c>
      <c r="AI72" s="98">
        <f>IF(J71=50,IF(K71&lt;2000,15,0),0)</f>
        <v>0</v>
      </c>
      <c r="AJ72" s="98">
        <f>IF(J71=100,IF(K71&lt;4500,16,0),0)</f>
        <v>0</v>
      </c>
      <c r="AK72" s="97">
        <v>0</v>
      </c>
      <c r="AL72" s="98"/>
      <c r="AM72" s="138">
        <f>IF(ISBLANK(B71),0,IF(AF72=0,COUNTIF(AN71:AR73,"&gt;0"),COUNTIF(AN73:AP73,"&gt;0")))</f>
        <v>0</v>
      </c>
      <c r="AN72" s="140">
        <f>IF(M71="個人メドレー",IF(N71&lt;&gt;100,23,0),0)</f>
        <v>0</v>
      </c>
      <c r="AO72" s="140">
        <f>IF(N71=25,IF(O71&lt;1000,25,0),0)</f>
        <v>0</v>
      </c>
      <c r="AP72" s="140">
        <f>IF(N71=50,IF(O71&lt;2000,26,0),0)</f>
        <v>0</v>
      </c>
      <c r="AQ72" s="140">
        <f>IF(N71=100,IF(O71&lt;4500,27,0),0)</f>
        <v>0</v>
      </c>
      <c r="AR72" s="140">
        <v>0</v>
      </c>
      <c r="AS72" s="98"/>
      <c r="AT72" s="96"/>
      <c r="AU72" s="71"/>
      <c r="AV72" s="71"/>
      <c r="AW72" s="71"/>
      <c r="AX72" s="71"/>
      <c r="AY72" s="71"/>
      <c r="AZ72" s="71">
        <v>73</v>
      </c>
      <c r="BA72" s="71">
        <v>70</v>
      </c>
      <c r="BB72" s="71"/>
      <c r="BC72" s="71"/>
      <c r="BD72" s="71"/>
      <c r="BE72" s="71"/>
      <c r="BF72" s="71"/>
      <c r="BG72" s="78"/>
      <c r="BH72" s="91"/>
      <c r="BI72" s="71"/>
      <c r="BJ72" s="71"/>
      <c r="BK72" s="78"/>
      <c r="BL72" s="91"/>
    </row>
    <row r="73" spans="1:64" ht="13.15" thickBot="1" x14ac:dyDescent="0.3">
      <c r="A73" s="213"/>
      <c r="B73" s="280"/>
      <c r="C73" s="281"/>
      <c r="D73" s="282"/>
      <c r="E73" s="283"/>
      <c r="F73" s="284"/>
      <c r="G73" s="285"/>
      <c r="H73" s="41"/>
      <c r="I73" s="258"/>
      <c r="J73" s="260"/>
      <c r="K73" s="237"/>
      <c r="L73" s="240"/>
      <c r="M73" s="258"/>
      <c r="N73" s="260"/>
      <c r="O73" s="237"/>
      <c r="P73" s="240"/>
      <c r="Q73" s="46"/>
      <c r="R73" s="47"/>
      <c r="S73" s="136">
        <f>COUNTIF(T71:AD73,"=0")</f>
        <v>31</v>
      </c>
      <c r="T73" s="98">
        <f>IF(COUNTIF(F72,"*区*")=0,IF(ISBLANK(B73),8,0),0)</f>
        <v>8</v>
      </c>
      <c r="U73" s="98">
        <f>IF(COUNTIF(F72,"*区*")=0,IF(ISBLANK(E73),9,0),0)</f>
        <v>9</v>
      </c>
      <c r="V73" s="98">
        <v>0</v>
      </c>
      <c r="W73" s="98">
        <v>0</v>
      </c>
      <c r="X73" s="98">
        <v>0</v>
      </c>
      <c r="Y73" s="98">
        <v>0</v>
      </c>
      <c r="Z73" s="94">
        <v>0</v>
      </c>
      <c r="AA73" s="94">
        <v>0</v>
      </c>
      <c r="AB73" s="94">
        <v>0</v>
      </c>
      <c r="AC73" s="94">
        <v>0</v>
      </c>
      <c r="AD73" s="94">
        <v>0</v>
      </c>
      <c r="AE73" s="94"/>
      <c r="AF73" s="128">
        <f>COUNTIF(AG71:AK73,"=0")</f>
        <v>11</v>
      </c>
      <c r="AG73" s="98">
        <v>0</v>
      </c>
      <c r="AH73" s="98">
        <v>0</v>
      </c>
      <c r="AI73" s="98">
        <v>0</v>
      </c>
      <c r="AJ73" s="98">
        <v>0</v>
      </c>
      <c r="AK73" s="97">
        <v>0</v>
      </c>
      <c r="AL73" s="98"/>
      <c r="AM73" s="138">
        <f>COUNTIF(AN71:AR73,"=0")</f>
        <v>14</v>
      </c>
      <c r="AN73" s="140">
        <f>IF(I71=M71,IF(J71=N71,29,0),0)</f>
        <v>29</v>
      </c>
      <c r="AO73" s="140">
        <f>IF(AF72=0,0,IF(ISBLANK(N71),0,20))</f>
        <v>0</v>
      </c>
      <c r="AP73" s="140">
        <f>IF(AF72=0,0,IF(ISBLANK(O71),0,20))</f>
        <v>0</v>
      </c>
      <c r="AQ73" s="140">
        <v>0</v>
      </c>
      <c r="AR73" s="140">
        <v>0</v>
      </c>
      <c r="AS73" s="98"/>
      <c r="AT73" s="96"/>
      <c r="AU73" s="71"/>
      <c r="AV73" s="71"/>
      <c r="AW73" s="71"/>
      <c r="AX73" s="71"/>
      <c r="AY73" s="71"/>
      <c r="AZ73" s="71">
        <v>74</v>
      </c>
      <c r="BA73" s="71">
        <v>70</v>
      </c>
      <c r="BB73" s="71"/>
      <c r="BC73" s="71"/>
      <c r="BD73" s="71"/>
      <c r="BE73" s="71"/>
      <c r="BF73" s="71"/>
      <c r="BG73" s="78"/>
      <c r="BH73" s="91"/>
      <c r="BI73" s="71"/>
      <c r="BJ73" s="71"/>
      <c r="BK73" s="78"/>
      <c r="BL73" s="91"/>
    </row>
    <row r="74" spans="1:64" ht="13.15" thickTop="1" x14ac:dyDescent="0.25">
      <c r="A74" s="274">
        <v>19</v>
      </c>
      <c r="B74" s="261"/>
      <c r="C74" s="261"/>
      <c r="D74" s="274" t="str">
        <f>PHONETIC(B74)&amp;" "&amp; PHONETIC(C74)</f>
        <v xml:space="preserve"> </v>
      </c>
      <c r="E74" s="48"/>
      <c r="F74" s="49"/>
      <c r="G74" s="38" t="str">
        <f>IF(ISBLANK(F74),"",IF(MONTH($AM$2)&gt;MONTH(F74),YEAR($AM$2)-YEAR(F74),IF(MONTH($AM$2)&lt;MONTH(F74),YEAR($AM$2)-YEAR(F74)-1,IF(DAY($AM$2)&gt;=DAY(F74),YEAR($AM$2)-YEAR(F74),YEAR($AM$2)-YEAR(F74)-1))))</f>
        <v/>
      </c>
      <c r="H74" s="50" t="str">
        <f>IF(S74&gt;0,VLOOKUP(S74,$BV$2:$BY$30,4),"-")</f>
        <v>-</v>
      </c>
      <c r="I74" s="269"/>
      <c r="J74" s="261"/>
      <c r="K74" s="264"/>
      <c r="L74" s="243" t="str">
        <f>IF(AF74&gt;0,VLOOKUP(AF74,$BV$2:$BY$30,4),"-")</f>
        <v>-</v>
      </c>
      <c r="M74" s="269"/>
      <c r="N74" s="261"/>
      <c r="O74" s="264"/>
      <c r="P74" s="243" t="str">
        <f>IF(AM74&gt;0,VLOOKUP(AM74,$BV$2:$BY$30,4),"-")</f>
        <v>-</v>
      </c>
      <c r="Q74" s="51"/>
      <c r="R74" s="51"/>
      <c r="S74" s="137">
        <f>IF(S75&gt;0,SMALL(T74:AD76,S76+1),0)</f>
        <v>0</v>
      </c>
      <c r="T74" s="95">
        <f>IF(ISBLANK(B74),0,IF(ISBLANK(E74),2,0))</f>
        <v>0</v>
      </c>
      <c r="U74" s="95">
        <f>IF(ISBLANK(B74),0,IF(ISBLANK(F74),3,0))</f>
        <v>0</v>
      </c>
      <c r="V74" s="95">
        <f>IF(ISBLANK(B74),0,IF(G74&lt;=17,4,0))</f>
        <v>0</v>
      </c>
      <c r="W74" s="95">
        <v>0</v>
      </c>
      <c r="X74" s="95">
        <v>0</v>
      </c>
      <c r="Y74" s="94">
        <v>0</v>
      </c>
      <c r="Z74" s="95">
        <v>0</v>
      </c>
      <c r="AA74" s="95">
        <v>0</v>
      </c>
      <c r="AB74" s="95">
        <v>0</v>
      </c>
      <c r="AC74" s="95">
        <v>0</v>
      </c>
      <c r="AD74" s="95">
        <v>0</v>
      </c>
      <c r="AE74" s="95"/>
      <c r="AF74" s="127">
        <f>IF(AF75&gt;0,SMALL(AG74:AK76,AF76+1),0)</f>
        <v>0</v>
      </c>
      <c r="AG74" s="102">
        <f>IF(ISBLANK(I74),10,0)</f>
        <v>10</v>
      </c>
      <c r="AH74" s="102">
        <f>IF(ISBLANK(J74),11,0)</f>
        <v>11</v>
      </c>
      <c r="AI74" s="102">
        <f>IF(ISBLANK(K74),13,0)</f>
        <v>13</v>
      </c>
      <c r="AJ74" s="102">
        <f>IF(ISNUMBER(K74),0,17)</f>
        <v>17</v>
      </c>
      <c r="AK74" s="101">
        <v>0</v>
      </c>
      <c r="AL74" s="102"/>
      <c r="AM74" s="141">
        <f>IF(AM75&gt;0,SMALL(AN74:AR76,AM76+1),0)</f>
        <v>0</v>
      </c>
      <c r="AN74" s="142">
        <f>IF(AF75=0,IF(ISBLANK(M74),IF(ISBLANK(N74),IF(ISBLANK(O74),0,21),21),0))</f>
        <v>0</v>
      </c>
      <c r="AO74" s="142">
        <f>IF(ISBLANK(M74),IF(ISBLANK(N74),0,22),IF(ISBLANK(N74),22,0))</f>
        <v>0</v>
      </c>
      <c r="AP74" s="142">
        <f>IF(ISBLANK(M74),0,IF(ISBLANK(O74),24,0))</f>
        <v>0</v>
      </c>
      <c r="AQ74" s="142">
        <f>IF(ISBLANK(O74),0,IF(ISNUMBER(O74),0,28))</f>
        <v>0</v>
      </c>
      <c r="AR74" s="142">
        <v>0</v>
      </c>
      <c r="AS74" s="102"/>
      <c r="AT74" s="100" t="e">
        <f>VLOOKUP(G74,$AZ$17:$BA$138,2)</f>
        <v>#N/A</v>
      </c>
      <c r="AU74" s="71"/>
      <c r="AV74" s="71"/>
      <c r="AW74" s="71"/>
      <c r="AX74" s="71"/>
      <c r="AY74" s="71"/>
      <c r="AZ74" s="71">
        <v>75</v>
      </c>
      <c r="BA74" s="71">
        <v>75</v>
      </c>
      <c r="BB74" s="71"/>
      <c r="BC74" s="71"/>
      <c r="BD74" s="71"/>
      <c r="BE74" s="71"/>
      <c r="BF74" s="71">
        <f>IF(E74="男",100,IF(E74="女",200,0))</f>
        <v>0</v>
      </c>
      <c r="BG74" s="78">
        <f>IF(I74="自由形",10,IF(I74="平泳ぎ",20,IF(I74="背泳ぎ",30,IF(I74="バタフライ",40,IF(I74="個人メドレー",50,0)))))</f>
        <v>0</v>
      </c>
      <c r="BH74" s="91">
        <f>IF(J74=25,1,IF(J74=50,2,IF(J74=100,3,0)))</f>
        <v>0</v>
      </c>
      <c r="BI74" s="71">
        <f>IF(M74="自由形",10,IF(M74="平泳ぎ",20,IF(M74="背泳ぎ",30,IF(M74="バタフライ",40,IF(M74="個人メドレー",50,0)))))</f>
        <v>0</v>
      </c>
      <c r="BJ74" s="71">
        <f>IF(N74=25,1,IF(N74=50,2,IF(N74=100,3,0)))</f>
        <v>0</v>
      </c>
      <c r="BK74" s="78">
        <f>BF74+BG74+BH74</f>
        <v>0</v>
      </c>
      <c r="BL74" s="91">
        <f>BF74+BI74+BJ74</f>
        <v>0</v>
      </c>
    </row>
    <row r="75" spans="1:64" x14ac:dyDescent="0.25">
      <c r="A75" s="275"/>
      <c r="B75" s="277"/>
      <c r="C75" s="279"/>
      <c r="D75" s="278"/>
      <c r="E75" s="54"/>
      <c r="F75" s="287"/>
      <c r="G75" s="247"/>
      <c r="H75" s="55"/>
      <c r="I75" s="270"/>
      <c r="J75" s="262"/>
      <c r="K75" s="265"/>
      <c r="L75" s="244"/>
      <c r="M75" s="270"/>
      <c r="N75" s="262"/>
      <c r="O75" s="265"/>
      <c r="P75" s="244"/>
      <c r="Q75" s="51"/>
      <c r="R75" s="51"/>
      <c r="S75" s="137">
        <f>IF(ISBLANK(B74),0,COUNTIF(T74:AD76,"&gt;0"))</f>
        <v>0</v>
      </c>
      <c r="T75" s="95">
        <f>IF(ISBLANK(B74),0,IF(ISBLANK(E75),5,0))</f>
        <v>0</v>
      </c>
      <c r="U75" s="95">
        <f>IF(ISBLANK(B74),0,IF(ISBLANK(F75),6,0))</f>
        <v>0</v>
      </c>
      <c r="V75" s="95">
        <f>IF(ISBLANK(B74),0,IF(ISBLANK(H75),7,0))</f>
        <v>0</v>
      </c>
      <c r="W75" s="95">
        <v>0</v>
      </c>
      <c r="X75" s="95">
        <v>0</v>
      </c>
      <c r="Y75" s="95">
        <f>IF(ISBLANK(B71),IF(ISBLANK(B74),0,1),0)</f>
        <v>0</v>
      </c>
      <c r="Z75" s="95">
        <v>0</v>
      </c>
      <c r="AA75" s="95">
        <v>0</v>
      </c>
      <c r="AB75" s="95">
        <v>0</v>
      </c>
      <c r="AC75" s="95">
        <v>0</v>
      </c>
      <c r="AD75" s="95">
        <v>0</v>
      </c>
      <c r="AE75" s="95"/>
      <c r="AF75" s="127">
        <f>IF(ISBLANK(B74),0,COUNTIF(AG74:AK76,"&gt;0"))</f>
        <v>0</v>
      </c>
      <c r="AG75" s="102">
        <f>IF(I74="個人メドレー",IF(J74&lt;&gt;100,12,0),0)</f>
        <v>0</v>
      </c>
      <c r="AH75" s="102">
        <f>IF(J74=25,IF(K74&lt;1000,14,0),0)</f>
        <v>0</v>
      </c>
      <c r="AI75" s="102">
        <f>IF(J74=50,IF(K74&lt;2000,15,0),0)</f>
        <v>0</v>
      </c>
      <c r="AJ75" s="102">
        <f>IF(J74=100,IF(K74&lt;4500,16,0),0)</f>
        <v>0</v>
      </c>
      <c r="AK75" s="101">
        <v>0</v>
      </c>
      <c r="AL75" s="102"/>
      <c r="AM75" s="141">
        <f>IF(ISBLANK(B74),0,IF(AF75=0,COUNTIF(AN74:AR76,"&gt;0"),COUNTIF(AN76:AP76,"&gt;0")))</f>
        <v>0</v>
      </c>
      <c r="AN75" s="142">
        <f>IF(M74="個人メドレー",IF(N74&lt;&gt;100,23,0),0)</f>
        <v>0</v>
      </c>
      <c r="AO75" s="142">
        <f>IF(N74=25,IF(O74&lt;1000,25,0),0)</f>
        <v>0</v>
      </c>
      <c r="AP75" s="142">
        <f>IF(N74=50,IF(O74&lt;2000,26,0),0)</f>
        <v>0</v>
      </c>
      <c r="AQ75" s="142">
        <f>IF(N74=100,IF(O74&lt;4500,27,0),0)</f>
        <v>0</v>
      </c>
      <c r="AR75" s="142">
        <v>0</v>
      </c>
      <c r="AS75" s="102"/>
      <c r="AT75" s="100"/>
      <c r="AU75" s="71"/>
      <c r="AV75" s="71"/>
      <c r="AW75" s="71"/>
      <c r="AX75" s="71"/>
      <c r="AY75" s="71"/>
      <c r="AZ75" s="71">
        <v>76</v>
      </c>
      <c r="BA75" s="71">
        <v>75</v>
      </c>
      <c r="BB75" s="71"/>
      <c r="BC75" s="71"/>
      <c r="BD75" s="71"/>
      <c r="BE75" s="71"/>
      <c r="BF75" s="71"/>
      <c r="BG75" s="78"/>
      <c r="BH75" s="91"/>
      <c r="BI75" s="71"/>
      <c r="BJ75" s="71"/>
      <c r="BK75" s="78"/>
      <c r="BL75" s="91"/>
    </row>
    <row r="76" spans="1:64" ht="13.15" thickBot="1" x14ac:dyDescent="0.3">
      <c r="A76" s="276"/>
      <c r="B76" s="248"/>
      <c r="C76" s="249"/>
      <c r="D76" s="250"/>
      <c r="E76" s="251"/>
      <c r="F76" s="252"/>
      <c r="G76" s="253"/>
      <c r="H76" s="56"/>
      <c r="I76" s="271"/>
      <c r="J76" s="263"/>
      <c r="K76" s="266"/>
      <c r="L76" s="245"/>
      <c r="M76" s="271"/>
      <c r="N76" s="263"/>
      <c r="O76" s="266"/>
      <c r="P76" s="245"/>
      <c r="Q76" s="52"/>
      <c r="R76" s="53"/>
      <c r="S76" s="132">
        <f>COUNTIF(T74:AD76,"=0")</f>
        <v>31</v>
      </c>
      <c r="T76" s="102">
        <f>IF(COUNTIF(F75,"*区*")=0,IF(ISBLANK(B76),8,0),0)</f>
        <v>8</v>
      </c>
      <c r="U76" s="102">
        <f>IF(COUNTIF(F75,"*区*")=0,IF(ISBLANK(E76),9,0),0)</f>
        <v>9</v>
      </c>
      <c r="V76" s="102">
        <v>0</v>
      </c>
      <c r="W76" s="102">
        <v>0</v>
      </c>
      <c r="X76" s="102">
        <v>0</v>
      </c>
      <c r="Y76" s="102">
        <v>0</v>
      </c>
      <c r="Z76" s="95">
        <v>0</v>
      </c>
      <c r="AA76" s="95">
        <v>0</v>
      </c>
      <c r="AB76" s="95">
        <v>0</v>
      </c>
      <c r="AC76" s="95">
        <v>0</v>
      </c>
      <c r="AD76" s="95">
        <v>0</v>
      </c>
      <c r="AE76" s="95"/>
      <c r="AF76" s="127">
        <f>COUNTIF(AG74:AK76,"=0")</f>
        <v>11</v>
      </c>
      <c r="AG76" s="102">
        <v>0</v>
      </c>
      <c r="AH76" s="102">
        <v>0</v>
      </c>
      <c r="AI76" s="102">
        <v>0</v>
      </c>
      <c r="AJ76" s="102">
        <v>0</v>
      </c>
      <c r="AK76" s="101">
        <v>0</v>
      </c>
      <c r="AL76" s="102"/>
      <c r="AM76" s="141">
        <f>COUNTIF(AN74:AR76,"=0")</f>
        <v>14</v>
      </c>
      <c r="AN76" s="142">
        <f>IF(I74=M74,IF(J74=N74,29,0),0)</f>
        <v>29</v>
      </c>
      <c r="AO76" s="142">
        <f>IF(AF75=0,0,IF(ISBLANK(N74),0,20))</f>
        <v>0</v>
      </c>
      <c r="AP76" s="142">
        <f>IF(AF75=0,0,IF(ISBLANK(O74),0,20))</f>
        <v>0</v>
      </c>
      <c r="AQ76" s="142">
        <v>0</v>
      </c>
      <c r="AR76" s="142">
        <v>0</v>
      </c>
      <c r="AS76" s="102"/>
      <c r="AT76" s="100"/>
      <c r="AU76" s="71"/>
      <c r="AV76" s="71"/>
      <c r="AW76" s="71"/>
      <c r="AX76" s="71"/>
      <c r="AY76" s="71"/>
      <c r="AZ76" s="71">
        <v>77</v>
      </c>
      <c r="BA76" s="71">
        <v>75</v>
      </c>
      <c r="BB76" s="71"/>
      <c r="BC76" s="71"/>
      <c r="BD76" s="71"/>
      <c r="BE76" s="71"/>
      <c r="BF76" s="71"/>
      <c r="BG76" s="78"/>
      <c r="BH76" s="91"/>
      <c r="BI76" s="71"/>
      <c r="BJ76" s="71"/>
      <c r="BK76" s="78"/>
      <c r="BL76" s="91"/>
    </row>
    <row r="77" spans="1:64" ht="13.15" thickTop="1" x14ac:dyDescent="0.25">
      <c r="A77" s="211">
        <v>20</v>
      </c>
      <c r="B77" s="254"/>
      <c r="C77" s="254"/>
      <c r="D77" s="211" t="str">
        <f>PHONETIC(B77)&amp;" "&amp; PHONETIC(C77)</f>
        <v xml:space="preserve"> </v>
      </c>
      <c r="E77" s="43"/>
      <c r="F77" s="40"/>
      <c r="G77" s="37" t="str">
        <f>IF(ISBLANK(F77),"",IF(MONTH($AM$2)&gt;MONTH(F77),YEAR($AM$2)-YEAR(F77),IF(MONTH($AM$2)&lt;MONTH(F77),YEAR($AM$2)-YEAR(F77)-1,IF(DAY($AM$2)&gt;=DAY(F77),YEAR($AM$2)-YEAR(F77),YEAR($AM$2)-YEAR(F77)-1))))</f>
        <v/>
      </c>
      <c r="H77" s="42" t="str">
        <f>IF(S77&gt;0,VLOOKUP(S77,$BV$2:$BY$30,4),"-")</f>
        <v>-</v>
      </c>
      <c r="I77" s="256"/>
      <c r="J77" s="254"/>
      <c r="K77" s="235"/>
      <c r="L77" s="238" t="str">
        <f>IF(AF77&gt;0,VLOOKUP(AF77,$BV$2:$BY$30,4),"-")</f>
        <v>-</v>
      </c>
      <c r="M77" s="256"/>
      <c r="N77" s="254"/>
      <c r="O77" s="235"/>
      <c r="P77" s="238" t="str">
        <f>IF(AM77&gt;0,VLOOKUP(AM77,$BV$2:$BY$30,4),"-")</f>
        <v>-</v>
      </c>
      <c r="Q77" s="45"/>
      <c r="R77" s="45"/>
      <c r="S77" s="135">
        <f>IF(S78&gt;0,SMALL(T77:AD79,S79+1),0)</f>
        <v>0</v>
      </c>
      <c r="T77" s="94">
        <f>IF(ISBLANK(B77),0,IF(ISBLANK(E77),2,0))</f>
        <v>0</v>
      </c>
      <c r="U77" s="94">
        <f>IF(ISBLANK(B77),0,IF(ISBLANK(F77),3,0))</f>
        <v>0</v>
      </c>
      <c r="V77" s="94">
        <f>IF(ISBLANK(B77),0,IF(G77&lt;=17,4,0))</f>
        <v>0</v>
      </c>
      <c r="W77" s="94">
        <v>0</v>
      </c>
      <c r="X77" s="94">
        <v>0</v>
      </c>
      <c r="Y77" s="94">
        <v>0</v>
      </c>
      <c r="Z77" s="94">
        <v>0</v>
      </c>
      <c r="AA77" s="94">
        <v>0</v>
      </c>
      <c r="AB77" s="94">
        <v>0</v>
      </c>
      <c r="AC77" s="94">
        <v>0</v>
      </c>
      <c r="AD77" s="94">
        <v>0</v>
      </c>
      <c r="AE77" s="94"/>
      <c r="AF77" s="128">
        <f>IF(AF78&gt;0,SMALL(AG77:AK79,AF79+1),0)</f>
        <v>0</v>
      </c>
      <c r="AG77" s="98">
        <f>IF(ISBLANK(I77),10,0)</f>
        <v>10</v>
      </c>
      <c r="AH77" s="98">
        <f>IF(ISBLANK(J77),11,0)</f>
        <v>11</v>
      </c>
      <c r="AI77" s="98">
        <f>IF(ISBLANK(K77),13,0)</f>
        <v>13</v>
      </c>
      <c r="AJ77" s="98">
        <f>IF(ISNUMBER(K77),0,17)</f>
        <v>17</v>
      </c>
      <c r="AK77" s="97">
        <v>0</v>
      </c>
      <c r="AL77" s="98"/>
      <c r="AM77" s="138">
        <f>IF(AM78&gt;0,SMALL(AN77:AR79,AM79+1),0)</f>
        <v>0</v>
      </c>
      <c r="AN77" s="140">
        <f>IF(AF78=0,IF(ISBLANK(M77),IF(ISBLANK(N77),IF(ISBLANK(O77),0,21),21),0))</f>
        <v>0</v>
      </c>
      <c r="AO77" s="140">
        <f>IF(ISBLANK(M77),IF(ISBLANK(N77),0,22),IF(ISBLANK(N77),22,0))</f>
        <v>0</v>
      </c>
      <c r="AP77" s="140">
        <f>IF(ISBLANK(M77),0,IF(ISBLANK(O77),24,0))</f>
        <v>0</v>
      </c>
      <c r="AQ77" s="140">
        <f>IF(ISBLANK(O77),0,IF(ISNUMBER(O77),0,28))</f>
        <v>0</v>
      </c>
      <c r="AR77" s="140">
        <v>0</v>
      </c>
      <c r="AS77" s="98"/>
      <c r="AT77" s="96" t="e">
        <f>VLOOKUP(G77,$AZ$17:$BA$138,2)</f>
        <v>#N/A</v>
      </c>
      <c r="AU77" s="71"/>
      <c r="AV77" s="71"/>
      <c r="AW77" s="71"/>
      <c r="AX77" s="71"/>
      <c r="AY77" s="71"/>
      <c r="AZ77" s="71">
        <v>78</v>
      </c>
      <c r="BA77" s="71">
        <v>75</v>
      </c>
      <c r="BB77" s="71"/>
      <c r="BC77" s="71"/>
      <c r="BD77" s="71"/>
      <c r="BE77" s="71"/>
      <c r="BF77" s="71">
        <f>IF(E77="男",100,IF(E77="女",200,0))</f>
        <v>0</v>
      </c>
      <c r="BG77" s="78">
        <f>IF(I77="自由形",10,IF(I77="平泳ぎ",20,IF(I77="背泳ぎ",30,IF(I77="バタフライ",40,IF(I77="個人メドレー",50,0)))))</f>
        <v>0</v>
      </c>
      <c r="BH77" s="91">
        <f>IF(J77=25,1,IF(J77=50,2,IF(J77=100,3,0)))</f>
        <v>0</v>
      </c>
      <c r="BI77" s="71">
        <f>IF(M77="自由形",10,IF(M77="平泳ぎ",20,IF(M77="背泳ぎ",30,IF(M77="バタフライ",40,IF(M77="個人メドレー",50,0)))))</f>
        <v>0</v>
      </c>
      <c r="BJ77" s="71">
        <f>IF(N77=25,1,IF(N77=50,2,IF(N77=100,3,0)))</f>
        <v>0</v>
      </c>
      <c r="BK77" s="78">
        <f>BF77+BG77+BH77</f>
        <v>0</v>
      </c>
      <c r="BL77" s="91">
        <f>BF77+BI77+BJ77</f>
        <v>0</v>
      </c>
    </row>
    <row r="78" spans="1:64" x14ac:dyDescent="0.25">
      <c r="A78" s="212"/>
      <c r="B78" s="255"/>
      <c r="C78" s="279"/>
      <c r="D78" s="216"/>
      <c r="E78" s="44"/>
      <c r="F78" s="286"/>
      <c r="G78" s="242"/>
      <c r="H78" s="39"/>
      <c r="I78" s="257"/>
      <c r="J78" s="259"/>
      <c r="K78" s="236"/>
      <c r="L78" s="239"/>
      <c r="M78" s="257"/>
      <c r="N78" s="259"/>
      <c r="O78" s="236"/>
      <c r="P78" s="239"/>
      <c r="Q78" s="45"/>
      <c r="R78" s="45"/>
      <c r="S78" s="135">
        <f>IF(ISBLANK(B77),0,COUNTIF(T77:AD79,"&gt;0"))</f>
        <v>0</v>
      </c>
      <c r="T78" s="94">
        <f>IF(ISBLANK(B77),0,IF(ISBLANK(E78),5,0))</f>
        <v>0</v>
      </c>
      <c r="U78" s="94">
        <f>IF(ISBLANK(B77),0,IF(ISBLANK(F78),6,0))</f>
        <v>0</v>
      </c>
      <c r="V78" s="94">
        <f>IF(ISBLANK(B77),0,IF(ISBLANK(H78),7,0))</f>
        <v>0</v>
      </c>
      <c r="W78" s="94">
        <v>0</v>
      </c>
      <c r="X78" s="94">
        <v>0</v>
      </c>
      <c r="Y78" s="94">
        <f>IF(ISBLANK(B74),IF(ISBLANK(B77),0,1),0)</f>
        <v>0</v>
      </c>
      <c r="Z78" s="94">
        <v>0</v>
      </c>
      <c r="AA78" s="94">
        <v>0</v>
      </c>
      <c r="AB78" s="94">
        <v>0</v>
      </c>
      <c r="AC78" s="94">
        <v>0</v>
      </c>
      <c r="AD78" s="94">
        <v>0</v>
      </c>
      <c r="AE78" s="94"/>
      <c r="AF78" s="128">
        <f>IF(ISBLANK(B77),0,COUNTIF(AG77:AK79,"&gt;0"))</f>
        <v>0</v>
      </c>
      <c r="AG78" s="98">
        <f>IF(I77="個人メドレー",IF(J77&lt;&gt;100,12,0),0)</f>
        <v>0</v>
      </c>
      <c r="AH78" s="98">
        <f>IF(J77=25,IF(K77&lt;1000,14,0),0)</f>
        <v>0</v>
      </c>
      <c r="AI78" s="98">
        <f>IF(J77=50,IF(K77&lt;2000,15,0),0)</f>
        <v>0</v>
      </c>
      <c r="AJ78" s="98">
        <f>IF(J77=100,IF(K77&lt;4500,16,0),0)</f>
        <v>0</v>
      </c>
      <c r="AK78" s="97">
        <v>0</v>
      </c>
      <c r="AL78" s="98"/>
      <c r="AM78" s="138">
        <f>IF(ISBLANK(B77),0,IF(AF78=0,COUNTIF(AN77:AR79,"&gt;0"),COUNTIF(AN79:AP79,"&gt;0")))</f>
        <v>0</v>
      </c>
      <c r="AN78" s="140">
        <f>IF(M77="個人メドレー",IF(N77&lt;&gt;100,23,0),0)</f>
        <v>0</v>
      </c>
      <c r="AO78" s="140">
        <f>IF(N77=25,IF(O77&lt;1000,25,0),0)</f>
        <v>0</v>
      </c>
      <c r="AP78" s="140">
        <f>IF(N77=50,IF(O77&lt;2000,26,0),0)</f>
        <v>0</v>
      </c>
      <c r="AQ78" s="140">
        <f>IF(N77=100,IF(O77&lt;4500,27,0),0)</f>
        <v>0</v>
      </c>
      <c r="AR78" s="140">
        <v>0</v>
      </c>
      <c r="AS78" s="98"/>
      <c r="AT78" s="96"/>
      <c r="AU78" s="71"/>
      <c r="AV78" s="71"/>
      <c r="AW78" s="71"/>
      <c r="AX78" s="71"/>
      <c r="AY78" s="71"/>
      <c r="AZ78" s="71">
        <v>79</v>
      </c>
      <c r="BA78" s="71">
        <v>75</v>
      </c>
      <c r="BB78" s="71"/>
      <c r="BC78" s="71"/>
      <c r="BD78" s="71"/>
      <c r="BE78" s="71"/>
      <c r="BF78" s="71"/>
      <c r="BG78" s="78"/>
      <c r="BH78" s="91"/>
      <c r="BI78" s="71"/>
      <c r="BJ78" s="71"/>
      <c r="BK78" s="78"/>
      <c r="BL78" s="91"/>
    </row>
    <row r="79" spans="1:64" ht="13.15" thickBot="1" x14ac:dyDescent="0.3">
      <c r="A79" s="213"/>
      <c r="B79" s="280"/>
      <c r="C79" s="281"/>
      <c r="D79" s="282"/>
      <c r="E79" s="283"/>
      <c r="F79" s="284"/>
      <c r="G79" s="285"/>
      <c r="H79" s="41"/>
      <c r="I79" s="258"/>
      <c r="J79" s="260"/>
      <c r="K79" s="237"/>
      <c r="L79" s="240"/>
      <c r="M79" s="258"/>
      <c r="N79" s="260"/>
      <c r="O79" s="237"/>
      <c r="P79" s="240"/>
      <c r="Q79" s="46"/>
      <c r="R79" s="47"/>
      <c r="S79" s="136">
        <f>COUNTIF(T77:AD79,"=0")</f>
        <v>31</v>
      </c>
      <c r="T79" s="98">
        <f>IF(COUNTIF(F78,"*区*")=0,IF(ISBLANK(B79),8,0),0)</f>
        <v>8</v>
      </c>
      <c r="U79" s="98">
        <f>IF(COUNTIF(F78,"*区*")=0,IF(ISBLANK(E79),9,0),0)</f>
        <v>9</v>
      </c>
      <c r="V79" s="98">
        <v>0</v>
      </c>
      <c r="W79" s="98">
        <v>0</v>
      </c>
      <c r="X79" s="98">
        <v>0</v>
      </c>
      <c r="Y79" s="98">
        <v>0</v>
      </c>
      <c r="Z79" s="94">
        <v>0</v>
      </c>
      <c r="AA79" s="94">
        <v>0</v>
      </c>
      <c r="AB79" s="94">
        <v>0</v>
      </c>
      <c r="AC79" s="94">
        <v>0</v>
      </c>
      <c r="AD79" s="94">
        <v>0</v>
      </c>
      <c r="AE79" s="94"/>
      <c r="AF79" s="128">
        <f>COUNTIF(AG77:AK79,"=0")</f>
        <v>11</v>
      </c>
      <c r="AG79" s="98">
        <v>0</v>
      </c>
      <c r="AH79" s="98">
        <v>0</v>
      </c>
      <c r="AI79" s="98">
        <v>0</v>
      </c>
      <c r="AJ79" s="98">
        <v>0</v>
      </c>
      <c r="AK79" s="97">
        <v>0</v>
      </c>
      <c r="AL79" s="98"/>
      <c r="AM79" s="138">
        <f>COUNTIF(AN77:AR79,"=0")</f>
        <v>14</v>
      </c>
      <c r="AN79" s="140">
        <f>IF(I77=M77,IF(J77=N77,29,0),0)</f>
        <v>29</v>
      </c>
      <c r="AO79" s="140">
        <f>IF(AF78=0,0,IF(ISBLANK(N77),0,20))</f>
        <v>0</v>
      </c>
      <c r="AP79" s="140">
        <f>IF(AF78=0,0,IF(ISBLANK(O77),0,20))</f>
        <v>0</v>
      </c>
      <c r="AQ79" s="140">
        <v>0</v>
      </c>
      <c r="AR79" s="140">
        <v>0</v>
      </c>
      <c r="AS79" s="98"/>
      <c r="AT79" s="96"/>
      <c r="AU79" s="71"/>
      <c r="AV79" s="71"/>
      <c r="AW79" s="71"/>
      <c r="AX79" s="71"/>
      <c r="AY79" s="71"/>
      <c r="AZ79" s="71">
        <v>80</v>
      </c>
      <c r="BA79" s="71">
        <v>80</v>
      </c>
      <c r="BB79" s="71"/>
      <c r="BC79" s="71"/>
      <c r="BD79" s="71"/>
      <c r="BE79" s="71"/>
      <c r="BF79" s="71"/>
      <c r="BG79" s="78"/>
      <c r="BH79" s="91"/>
      <c r="BI79" s="71"/>
      <c r="BJ79" s="71"/>
      <c r="BK79" s="78"/>
      <c r="BL79" s="91"/>
    </row>
    <row r="80" spans="1:64" ht="13.15" thickTop="1" x14ac:dyDescent="0.25">
      <c r="A80" s="274">
        <v>21</v>
      </c>
      <c r="B80" s="261"/>
      <c r="C80" s="261"/>
      <c r="D80" s="274" t="str">
        <f>PHONETIC(B80)&amp;" "&amp; PHONETIC(C80)</f>
        <v xml:space="preserve"> </v>
      </c>
      <c r="E80" s="48"/>
      <c r="F80" s="49"/>
      <c r="G80" s="38" t="str">
        <f>IF(ISBLANK(F80),"",IF(MONTH($AM$2)&gt;MONTH(F80),YEAR($AM$2)-YEAR(F80),IF(MONTH($AM$2)&lt;MONTH(F80),YEAR($AM$2)-YEAR(F80)-1,IF(DAY($AM$2)&gt;=DAY(F80),YEAR($AM$2)-YEAR(F80),YEAR($AM$2)-YEAR(F80)-1))))</f>
        <v/>
      </c>
      <c r="H80" s="50" t="str">
        <f>IF(S80&gt;0,VLOOKUP(S80,$BV$2:$BY$30,4),"-")</f>
        <v>-</v>
      </c>
      <c r="I80" s="269"/>
      <c r="J80" s="261"/>
      <c r="K80" s="264"/>
      <c r="L80" s="243" t="str">
        <f>IF(AF80&gt;0,VLOOKUP(AF80,$BV$2:$BY$30,4),"-")</f>
        <v>-</v>
      </c>
      <c r="M80" s="269"/>
      <c r="N80" s="261"/>
      <c r="O80" s="264"/>
      <c r="P80" s="243" t="str">
        <f>IF(AM80&gt;0,VLOOKUP(AM80,$BV$2:$BY$30,4),"-")</f>
        <v>-</v>
      </c>
      <c r="Q80" s="51"/>
      <c r="R80" s="51"/>
      <c r="S80" s="137">
        <f>IF(S81&gt;0,SMALL(T80:AD82,S82+1),0)</f>
        <v>0</v>
      </c>
      <c r="T80" s="95">
        <f>IF(ISBLANK(B80),0,IF(ISBLANK(E80),2,0))</f>
        <v>0</v>
      </c>
      <c r="U80" s="95">
        <f>IF(ISBLANK(B80),0,IF(ISBLANK(F80),3,0))</f>
        <v>0</v>
      </c>
      <c r="V80" s="95">
        <f>IF(ISBLANK(B80),0,IF(G80&lt;=17,4,0))</f>
        <v>0</v>
      </c>
      <c r="W80" s="95">
        <v>0</v>
      </c>
      <c r="X80" s="95">
        <v>0</v>
      </c>
      <c r="Y80" s="94">
        <v>0</v>
      </c>
      <c r="Z80" s="95">
        <v>0</v>
      </c>
      <c r="AA80" s="95">
        <v>0</v>
      </c>
      <c r="AB80" s="95">
        <v>0</v>
      </c>
      <c r="AC80" s="95">
        <v>0</v>
      </c>
      <c r="AD80" s="95">
        <v>0</v>
      </c>
      <c r="AE80" s="95"/>
      <c r="AF80" s="127">
        <f>IF(AF81&gt;0,SMALL(AG80:AK82,AF82+1),0)</f>
        <v>0</v>
      </c>
      <c r="AG80" s="102">
        <f>IF(ISBLANK(I80),10,0)</f>
        <v>10</v>
      </c>
      <c r="AH80" s="102">
        <f>IF(ISBLANK(J80),11,0)</f>
        <v>11</v>
      </c>
      <c r="AI80" s="102">
        <f>IF(ISBLANK(K80),13,0)</f>
        <v>13</v>
      </c>
      <c r="AJ80" s="102">
        <f>IF(ISNUMBER(K80),0,17)</f>
        <v>17</v>
      </c>
      <c r="AK80" s="101">
        <v>0</v>
      </c>
      <c r="AL80" s="102"/>
      <c r="AM80" s="141">
        <f>IF(AM81&gt;0,SMALL(AN80:AR82,AM82+1),0)</f>
        <v>0</v>
      </c>
      <c r="AN80" s="142">
        <f>IF(AF81=0,IF(ISBLANK(M80),IF(ISBLANK(N80),IF(ISBLANK(O80),0,21),21),0))</f>
        <v>0</v>
      </c>
      <c r="AO80" s="142">
        <f>IF(ISBLANK(M80),IF(ISBLANK(N80),0,22),IF(ISBLANK(N80),22,0))</f>
        <v>0</v>
      </c>
      <c r="AP80" s="142">
        <f>IF(ISBLANK(M80),0,IF(ISBLANK(O80),24,0))</f>
        <v>0</v>
      </c>
      <c r="AQ80" s="142">
        <f>IF(ISBLANK(O80),0,IF(ISNUMBER(O80),0,28))</f>
        <v>0</v>
      </c>
      <c r="AR80" s="142">
        <v>0</v>
      </c>
      <c r="AS80" s="102"/>
      <c r="AT80" s="100" t="e">
        <f>VLOOKUP(G80,$AZ$17:$BA$138,2)</f>
        <v>#N/A</v>
      </c>
      <c r="AU80" s="71"/>
      <c r="AV80" s="71"/>
      <c r="AW80" s="71"/>
      <c r="AX80" s="71"/>
      <c r="AY80" s="71"/>
      <c r="AZ80" s="71">
        <v>81</v>
      </c>
      <c r="BA80" s="71">
        <v>80</v>
      </c>
      <c r="BB80" s="71"/>
      <c r="BC80" s="71"/>
      <c r="BD80" s="71"/>
      <c r="BE80" s="71"/>
      <c r="BF80" s="71">
        <f>IF(E80="男",100,IF(E80="女",200,0))</f>
        <v>0</v>
      </c>
      <c r="BG80" s="78">
        <f>IF(I80="自由形",10,IF(I80="平泳ぎ",20,IF(I80="背泳ぎ",30,IF(I80="バタフライ",40,IF(I80="個人メドレー",50,0)))))</f>
        <v>0</v>
      </c>
      <c r="BH80" s="91">
        <f>IF(J80=25,1,IF(J80=50,2,IF(J80=100,3,0)))</f>
        <v>0</v>
      </c>
      <c r="BI80" s="71">
        <f>IF(M80="自由形",10,IF(M80="平泳ぎ",20,IF(M80="背泳ぎ",30,IF(M80="バタフライ",40,IF(M80="個人メドレー",50,0)))))</f>
        <v>0</v>
      </c>
      <c r="BJ80" s="71">
        <f>IF(N80=25,1,IF(N80=50,2,IF(N80=100,3,0)))</f>
        <v>0</v>
      </c>
      <c r="BK80" s="78">
        <f>BF80+BG80+BH80</f>
        <v>0</v>
      </c>
      <c r="BL80" s="91">
        <f>BF80+BI80+BJ80</f>
        <v>0</v>
      </c>
    </row>
    <row r="81" spans="1:64" x14ac:dyDescent="0.25">
      <c r="A81" s="275"/>
      <c r="B81" s="277"/>
      <c r="C81" s="279"/>
      <c r="D81" s="278"/>
      <c r="E81" s="54"/>
      <c r="F81" s="287"/>
      <c r="G81" s="247"/>
      <c r="H81" s="55"/>
      <c r="I81" s="270"/>
      <c r="J81" s="262"/>
      <c r="K81" s="265"/>
      <c r="L81" s="244"/>
      <c r="M81" s="270"/>
      <c r="N81" s="262"/>
      <c r="O81" s="265"/>
      <c r="P81" s="244"/>
      <c r="Q81" s="51"/>
      <c r="R81" s="51"/>
      <c r="S81" s="137">
        <f>IF(ISBLANK(B80),0,COUNTIF(T80:AD82,"&gt;0"))</f>
        <v>0</v>
      </c>
      <c r="T81" s="95">
        <f>IF(ISBLANK(B80),0,IF(ISBLANK(E81),5,0))</f>
        <v>0</v>
      </c>
      <c r="U81" s="95">
        <f>IF(ISBLANK(B80),0,IF(ISBLANK(F81),6,0))</f>
        <v>0</v>
      </c>
      <c r="V81" s="95">
        <f>IF(ISBLANK(B80),0,IF(ISBLANK(H81),7,0))</f>
        <v>0</v>
      </c>
      <c r="W81" s="95">
        <v>0</v>
      </c>
      <c r="X81" s="95">
        <v>0</v>
      </c>
      <c r="Y81" s="95">
        <f>IF(ISBLANK(B77),IF(ISBLANK(B80),0,1),0)</f>
        <v>0</v>
      </c>
      <c r="Z81" s="95">
        <v>0</v>
      </c>
      <c r="AA81" s="95">
        <v>0</v>
      </c>
      <c r="AB81" s="95">
        <v>0</v>
      </c>
      <c r="AC81" s="95">
        <v>0</v>
      </c>
      <c r="AD81" s="95">
        <v>0</v>
      </c>
      <c r="AE81" s="95"/>
      <c r="AF81" s="127">
        <f>IF(ISBLANK(B80),0,COUNTIF(AG80:AK82,"&gt;0"))</f>
        <v>0</v>
      </c>
      <c r="AG81" s="102">
        <f>IF(I80="個人メドレー",IF(J80&lt;&gt;100,12,0),0)</f>
        <v>0</v>
      </c>
      <c r="AH81" s="102">
        <f>IF(J80=25,IF(K80&lt;1000,14,0),0)</f>
        <v>0</v>
      </c>
      <c r="AI81" s="102">
        <f>IF(J80=50,IF(K80&lt;2000,15,0),0)</f>
        <v>0</v>
      </c>
      <c r="AJ81" s="102">
        <f>IF(J80=100,IF(K80&lt;4500,16,0),0)</f>
        <v>0</v>
      </c>
      <c r="AK81" s="101">
        <v>0</v>
      </c>
      <c r="AL81" s="102"/>
      <c r="AM81" s="141">
        <f>IF(ISBLANK(B80),0,IF(AF81=0,COUNTIF(AN80:AR82,"&gt;0"),COUNTIF(AN82:AP82,"&gt;0")))</f>
        <v>0</v>
      </c>
      <c r="AN81" s="142">
        <f>IF(M80="個人メドレー",IF(N80&lt;&gt;100,23,0),0)</f>
        <v>0</v>
      </c>
      <c r="AO81" s="142">
        <f>IF(N80=25,IF(O80&lt;1000,25,0),0)</f>
        <v>0</v>
      </c>
      <c r="AP81" s="142">
        <f>IF(N80=50,IF(O80&lt;2000,26,0),0)</f>
        <v>0</v>
      </c>
      <c r="AQ81" s="142">
        <f>IF(N80=100,IF(O80&lt;4500,27,0),0)</f>
        <v>0</v>
      </c>
      <c r="AR81" s="142">
        <v>0</v>
      </c>
      <c r="AS81" s="102"/>
      <c r="AT81" s="100"/>
      <c r="AU81" s="71"/>
      <c r="AV81" s="71"/>
      <c r="AW81" s="71"/>
      <c r="AX81" s="71"/>
      <c r="AY81" s="71"/>
      <c r="AZ81" s="71">
        <v>82</v>
      </c>
      <c r="BA81" s="71">
        <v>80</v>
      </c>
      <c r="BB81" s="71"/>
      <c r="BC81" s="71"/>
      <c r="BD81" s="71"/>
      <c r="BE81" s="71"/>
      <c r="BF81" s="71"/>
      <c r="BG81" s="78"/>
      <c r="BH81" s="91"/>
      <c r="BI81" s="71"/>
      <c r="BJ81" s="71"/>
      <c r="BK81" s="78"/>
      <c r="BL81" s="91"/>
    </row>
    <row r="82" spans="1:64" ht="13.15" thickBot="1" x14ac:dyDescent="0.3">
      <c r="A82" s="276"/>
      <c r="B82" s="248"/>
      <c r="C82" s="249"/>
      <c r="D82" s="250"/>
      <c r="E82" s="251"/>
      <c r="F82" s="252"/>
      <c r="G82" s="253"/>
      <c r="H82" s="56"/>
      <c r="I82" s="271"/>
      <c r="J82" s="263"/>
      <c r="K82" s="266"/>
      <c r="L82" s="245"/>
      <c r="M82" s="271"/>
      <c r="N82" s="263"/>
      <c r="O82" s="266"/>
      <c r="P82" s="245"/>
      <c r="Q82" s="52"/>
      <c r="R82" s="53"/>
      <c r="S82" s="132">
        <f>COUNTIF(T80:AD82,"=0")</f>
        <v>31</v>
      </c>
      <c r="T82" s="102">
        <f>IF(COUNTIF(F81,"*区*")=0,IF(ISBLANK(B82),8,0),0)</f>
        <v>8</v>
      </c>
      <c r="U82" s="102">
        <f>IF(COUNTIF(F81,"*区*")=0,IF(ISBLANK(E82),9,0),0)</f>
        <v>9</v>
      </c>
      <c r="V82" s="102">
        <v>0</v>
      </c>
      <c r="W82" s="102">
        <v>0</v>
      </c>
      <c r="X82" s="102">
        <v>0</v>
      </c>
      <c r="Y82" s="102">
        <v>0</v>
      </c>
      <c r="Z82" s="95">
        <v>0</v>
      </c>
      <c r="AA82" s="95">
        <v>0</v>
      </c>
      <c r="AB82" s="95">
        <v>0</v>
      </c>
      <c r="AC82" s="95">
        <v>0</v>
      </c>
      <c r="AD82" s="95">
        <v>0</v>
      </c>
      <c r="AE82" s="95"/>
      <c r="AF82" s="127">
        <f>COUNTIF(AG80:AK82,"=0")</f>
        <v>11</v>
      </c>
      <c r="AG82" s="102">
        <v>0</v>
      </c>
      <c r="AH82" s="102">
        <v>0</v>
      </c>
      <c r="AI82" s="102">
        <v>0</v>
      </c>
      <c r="AJ82" s="102">
        <v>0</v>
      </c>
      <c r="AK82" s="101">
        <v>0</v>
      </c>
      <c r="AL82" s="102"/>
      <c r="AM82" s="141">
        <f>COUNTIF(AN80:AR82,"=0")</f>
        <v>14</v>
      </c>
      <c r="AN82" s="142">
        <f>IF(I80=M80,IF(J80=N80,29,0),0)</f>
        <v>29</v>
      </c>
      <c r="AO82" s="142">
        <f>IF(AF81=0,0,IF(ISBLANK(N80),0,20))</f>
        <v>0</v>
      </c>
      <c r="AP82" s="142">
        <f>IF(AF81=0,0,IF(ISBLANK(O80),0,20))</f>
        <v>0</v>
      </c>
      <c r="AQ82" s="142">
        <v>0</v>
      </c>
      <c r="AR82" s="142">
        <v>0</v>
      </c>
      <c r="AS82" s="102"/>
      <c r="AT82" s="100"/>
      <c r="AU82" s="71"/>
      <c r="AV82" s="71"/>
      <c r="AW82" s="71"/>
      <c r="AX82" s="71"/>
      <c r="AY82" s="71"/>
      <c r="AZ82" s="71">
        <v>83</v>
      </c>
      <c r="BA82" s="71">
        <v>80</v>
      </c>
      <c r="BB82" s="71"/>
      <c r="BC82" s="71"/>
      <c r="BD82" s="71"/>
      <c r="BE82" s="71"/>
      <c r="BF82" s="71"/>
      <c r="BG82" s="78"/>
      <c r="BH82" s="91"/>
      <c r="BI82" s="71"/>
      <c r="BJ82" s="71"/>
      <c r="BK82" s="78"/>
      <c r="BL82" s="91"/>
    </row>
    <row r="83" spans="1:64" ht="13.15" thickTop="1" x14ac:dyDescent="0.25">
      <c r="A83" s="211">
        <v>22</v>
      </c>
      <c r="B83" s="254"/>
      <c r="C83" s="254"/>
      <c r="D83" s="211" t="str">
        <f>PHONETIC(B83)&amp;" "&amp; PHONETIC(C83)</f>
        <v xml:space="preserve"> </v>
      </c>
      <c r="E83" s="43"/>
      <c r="F83" s="40"/>
      <c r="G83" s="37" t="str">
        <f>IF(ISBLANK(F83),"",IF(MONTH($AM$2)&gt;MONTH(F83),YEAR($AM$2)-YEAR(F83),IF(MONTH($AM$2)&lt;MONTH(F83),YEAR($AM$2)-YEAR(F83)-1,IF(DAY($AM$2)&gt;=DAY(F83),YEAR($AM$2)-YEAR(F83),YEAR($AM$2)-YEAR(F83)-1))))</f>
        <v/>
      </c>
      <c r="H83" s="42" t="str">
        <f>IF(S83&gt;0,VLOOKUP(S83,$BV$2:$BY$30,4),"-")</f>
        <v>-</v>
      </c>
      <c r="I83" s="256"/>
      <c r="J83" s="254"/>
      <c r="K83" s="235"/>
      <c r="L83" s="238" t="str">
        <f>IF(AF83&gt;0,VLOOKUP(AF83,$BV$2:$BY$30,4),"-")</f>
        <v>-</v>
      </c>
      <c r="M83" s="256"/>
      <c r="N83" s="254"/>
      <c r="O83" s="235"/>
      <c r="P83" s="238" t="str">
        <f>IF(AM83&gt;0,VLOOKUP(AM83,$BV$2:$BY$30,4),"-")</f>
        <v>-</v>
      </c>
      <c r="Q83" s="45"/>
      <c r="R83" s="45"/>
      <c r="S83" s="135">
        <f>IF(S84&gt;0,SMALL(T83:AD85,S85+1),0)</f>
        <v>0</v>
      </c>
      <c r="T83" s="94">
        <f>IF(ISBLANK(B83),0,IF(ISBLANK(E83),2,0))</f>
        <v>0</v>
      </c>
      <c r="U83" s="94">
        <f>IF(ISBLANK(B83),0,IF(ISBLANK(F83),3,0))</f>
        <v>0</v>
      </c>
      <c r="V83" s="94">
        <f>IF(ISBLANK(B83),0,IF(G83&lt;=17,4,0))</f>
        <v>0</v>
      </c>
      <c r="W83" s="94">
        <v>0</v>
      </c>
      <c r="X83" s="94">
        <v>0</v>
      </c>
      <c r="Y83" s="94">
        <v>0</v>
      </c>
      <c r="Z83" s="94">
        <v>0</v>
      </c>
      <c r="AA83" s="94">
        <v>0</v>
      </c>
      <c r="AB83" s="94">
        <v>0</v>
      </c>
      <c r="AC83" s="94">
        <v>0</v>
      </c>
      <c r="AD83" s="94">
        <v>0</v>
      </c>
      <c r="AE83" s="94"/>
      <c r="AF83" s="128">
        <f>IF(AF84&gt;0,SMALL(AG83:AK85,AF85+1),0)</f>
        <v>0</v>
      </c>
      <c r="AG83" s="98">
        <f>IF(ISBLANK(I83),10,0)</f>
        <v>10</v>
      </c>
      <c r="AH83" s="98">
        <f>IF(ISBLANK(J83),11,0)</f>
        <v>11</v>
      </c>
      <c r="AI83" s="98">
        <f>IF(ISBLANK(K83),13,0)</f>
        <v>13</v>
      </c>
      <c r="AJ83" s="98">
        <f>IF(ISNUMBER(K83),0,17)</f>
        <v>17</v>
      </c>
      <c r="AK83" s="97">
        <v>0</v>
      </c>
      <c r="AL83" s="98"/>
      <c r="AM83" s="138">
        <f>IF(AM84&gt;0,SMALL(AN83:AR85,AM85+1),0)</f>
        <v>0</v>
      </c>
      <c r="AN83" s="140">
        <f>IF(AF84=0,IF(ISBLANK(M83),IF(ISBLANK(N83),IF(ISBLANK(O83),0,21),21),0))</f>
        <v>0</v>
      </c>
      <c r="AO83" s="140">
        <f>IF(ISBLANK(M83),IF(ISBLANK(N83),0,22),IF(ISBLANK(N83),22,0))</f>
        <v>0</v>
      </c>
      <c r="AP83" s="140">
        <f>IF(ISBLANK(M83),0,IF(ISBLANK(O83),24,0))</f>
        <v>0</v>
      </c>
      <c r="AQ83" s="140">
        <f>IF(ISBLANK(O83),0,IF(ISNUMBER(O83),0,28))</f>
        <v>0</v>
      </c>
      <c r="AR83" s="140">
        <v>0</v>
      </c>
      <c r="AS83" s="98"/>
      <c r="AT83" s="96" t="e">
        <f>VLOOKUP(G83,$AZ$17:$BA$138,2)</f>
        <v>#N/A</v>
      </c>
      <c r="AU83" s="71"/>
      <c r="AV83" s="71"/>
      <c r="AW83" s="71"/>
      <c r="AX83" s="71"/>
      <c r="AY83" s="71"/>
      <c r="AZ83" s="71">
        <v>84</v>
      </c>
      <c r="BA83" s="71">
        <v>80</v>
      </c>
      <c r="BB83" s="71"/>
      <c r="BC83" s="71"/>
      <c r="BD83" s="71"/>
      <c r="BE83" s="71"/>
      <c r="BF83" s="71">
        <f>IF(E83="男",100,IF(E83="女",200,0))</f>
        <v>0</v>
      </c>
      <c r="BG83" s="78">
        <f>IF(I83="自由形",10,IF(I83="平泳ぎ",20,IF(I83="背泳ぎ",30,IF(I83="バタフライ",40,IF(I83="個人メドレー",50,0)))))</f>
        <v>0</v>
      </c>
      <c r="BH83" s="91">
        <f>IF(J83=25,1,IF(J83=50,2,IF(J83=100,3,0)))</f>
        <v>0</v>
      </c>
      <c r="BI83" s="71">
        <f>IF(M83="自由形",10,IF(M83="平泳ぎ",20,IF(M83="背泳ぎ",30,IF(M83="バタフライ",40,IF(M83="個人メドレー",50,0)))))</f>
        <v>0</v>
      </c>
      <c r="BJ83" s="71">
        <f>IF(N83=25,1,IF(N83=50,2,IF(N83=100,3,0)))</f>
        <v>0</v>
      </c>
      <c r="BK83" s="78">
        <f>BF83+BG83+BH83</f>
        <v>0</v>
      </c>
      <c r="BL83" s="91">
        <f>BF83+BI83+BJ83</f>
        <v>0</v>
      </c>
    </row>
    <row r="84" spans="1:64" x14ac:dyDescent="0.25">
      <c r="A84" s="212"/>
      <c r="B84" s="255"/>
      <c r="C84" s="279"/>
      <c r="D84" s="216"/>
      <c r="E84" s="44"/>
      <c r="F84" s="286"/>
      <c r="G84" s="242"/>
      <c r="H84" s="39"/>
      <c r="I84" s="257"/>
      <c r="J84" s="259"/>
      <c r="K84" s="236"/>
      <c r="L84" s="239"/>
      <c r="M84" s="257"/>
      <c r="N84" s="259"/>
      <c r="O84" s="236"/>
      <c r="P84" s="239"/>
      <c r="Q84" s="45"/>
      <c r="R84" s="45"/>
      <c r="S84" s="135">
        <f>IF(ISBLANK(B83),0,COUNTIF(T83:AD85,"&gt;0"))</f>
        <v>0</v>
      </c>
      <c r="T84" s="94">
        <f>IF(ISBLANK(B83),0,IF(ISBLANK(E84),5,0))</f>
        <v>0</v>
      </c>
      <c r="U84" s="94">
        <f>IF(ISBLANK(B83),0,IF(ISBLANK(F84),6,0))</f>
        <v>0</v>
      </c>
      <c r="V84" s="94">
        <f>IF(ISBLANK(B83),0,IF(ISBLANK(H84),7,0))</f>
        <v>0</v>
      </c>
      <c r="W84" s="94">
        <v>0</v>
      </c>
      <c r="X84" s="94">
        <v>0</v>
      </c>
      <c r="Y84" s="94">
        <f>IF(ISBLANK(B80),IF(ISBLANK(B83),0,1),0)</f>
        <v>0</v>
      </c>
      <c r="Z84" s="94">
        <v>0</v>
      </c>
      <c r="AA84" s="94">
        <v>0</v>
      </c>
      <c r="AB84" s="94">
        <v>0</v>
      </c>
      <c r="AC84" s="94">
        <v>0</v>
      </c>
      <c r="AD84" s="94">
        <v>0</v>
      </c>
      <c r="AE84" s="94"/>
      <c r="AF84" s="128">
        <f>IF(ISBLANK(B83),0,COUNTIF(AG83:AK85,"&gt;0"))</f>
        <v>0</v>
      </c>
      <c r="AG84" s="98">
        <f>IF(I83="個人メドレー",IF(J83&lt;&gt;100,12,0),0)</f>
        <v>0</v>
      </c>
      <c r="AH84" s="98">
        <f>IF(J83=25,IF(K83&lt;1000,14,0),0)</f>
        <v>0</v>
      </c>
      <c r="AI84" s="98">
        <f>IF(J83=50,IF(K83&lt;2000,15,0),0)</f>
        <v>0</v>
      </c>
      <c r="AJ84" s="98">
        <f>IF(J83=100,IF(K83&lt;4500,16,0),0)</f>
        <v>0</v>
      </c>
      <c r="AK84" s="97">
        <v>0</v>
      </c>
      <c r="AL84" s="98"/>
      <c r="AM84" s="138">
        <f>IF(ISBLANK(B83),0,IF(AF84=0,COUNTIF(AN83:AR85,"&gt;0"),COUNTIF(AN85:AP85,"&gt;0")))</f>
        <v>0</v>
      </c>
      <c r="AN84" s="140">
        <f>IF(M83="個人メドレー",IF(N83&lt;&gt;100,23,0),0)</f>
        <v>0</v>
      </c>
      <c r="AO84" s="140">
        <f>IF(N83=25,IF(O83&lt;1000,25,0),0)</f>
        <v>0</v>
      </c>
      <c r="AP84" s="140">
        <f>IF(N83=50,IF(O83&lt;2000,26,0),0)</f>
        <v>0</v>
      </c>
      <c r="AQ84" s="140">
        <f>IF(N83=100,IF(O83&lt;4500,27,0),0)</f>
        <v>0</v>
      </c>
      <c r="AR84" s="140">
        <v>0</v>
      </c>
      <c r="AS84" s="98"/>
      <c r="AT84" s="96"/>
      <c r="AU84" s="71"/>
      <c r="AV84" s="71"/>
      <c r="AW84" s="71"/>
      <c r="AX84" s="71"/>
      <c r="AY84" s="71"/>
      <c r="AZ84" s="71">
        <v>85</v>
      </c>
      <c r="BA84" s="71">
        <v>85</v>
      </c>
      <c r="BB84" s="71"/>
      <c r="BC84" s="71"/>
      <c r="BD84" s="71"/>
      <c r="BE84" s="71"/>
      <c r="BF84" s="71"/>
      <c r="BG84" s="78"/>
      <c r="BH84" s="91"/>
      <c r="BI84" s="71"/>
      <c r="BJ84" s="71"/>
      <c r="BK84" s="78"/>
      <c r="BL84" s="91"/>
    </row>
    <row r="85" spans="1:64" ht="13.15" thickBot="1" x14ac:dyDescent="0.3">
      <c r="A85" s="213"/>
      <c r="B85" s="280"/>
      <c r="C85" s="281"/>
      <c r="D85" s="282"/>
      <c r="E85" s="283"/>
      <c r="F85" s="284"/>
      <c r="G85" s="285"/>
      <c r="H85" s="41"/>
      <c r="I85" s="258"/>
      <c r="J85" s="260"/>
      <c r="K85" s="237"/>
      <c r="L85" s="240"/>
      <c r="M85" s="258"/>
      <c r="N85" s="260"/>
      <c r="O85" s="237"/>
      <c r="P85" s="240"/>
      <c r="Q85" s="46"/>
      <c r="R85" s="47"/>
      <c r="S85" s="136">
        <f>COUNTIF(T83:AD85,"=0")</f>
        <v>31</v>
      </c>
      <c r="T85" s="98">
        <f>IF(COUNTIF(F84,"*区*")=0,IF(ISBLANK(B85),8,0),0)</f>
        <v>8</v>
      </c>
      <c r="U85" s="98">
        <f>IF(COUNTIF(F84,"*区*")=0,IF(ISBLANK(E85),9,0),0)</f>
        <v>9</v>
      </c>
      <c r="V85" s="98">
        <v>0</v>
      </c>
      <c r="W85" s="98">
        <v>0</v>
      </c>
      <c r="X85" s="98">
        <v>0</v>
      </c>
      <c r="Y85" s="98">
        <v>0</v>
      </c>
      <c r="Z85" s="94">
        <v>0</v>
      </c>
      <c r="AA85" s="94">
        <v>0</v>
      </c>
      <c r="AB85" s="94">
        <v>0</v>
      </c>
      <c r="AC85" s="94">
        <v>0</v>
      </c>
      <c r="AD85" s="94">
        <v>0</v>
      </c>
      <c r="AE85" s="94"/>
      <c r="AF85" s="128">
        <f>COUNTIF(AG83:AK85,"=0")</f>
        <v>11</v>
      </c>
      <c r="AG85" s="98">
        <v>0</v>
      </c>
      <c r="AH85" s="98">
        <v>0</v>
      </c>
      <c r="AI85" s="98">
        <v>0</v>
      </c>
      <c r="AJ85" s="98">
        <v>0</v>
      </c>
      <c r="AK85" s="97">
        <v>0</v>
      </c>
      <c r="AL85" s="98"/>
      <c r="AM85" s="138">
        <f>COUNTIF(AN83:AR85,"=0")</f>
        <v>14</v>
      </c>
      <c r="AN85" s="140">
        <f>IF(I83=M83,IF(J83=N83,29,0),0)</f>
        <v>29</v>
      </c>
      <c r="AO85" s="140">
        <f>IF(AF84=0,0,IF(ISBLANK(N83),0,20))</f>
        <v>0</v>
      </c>
      <c r="AP85" s="140">
        <f>IF(AF84=0,0,IF(ISBLANK(O83),0,20))</f>
        <v>0</v>
      </c>
      <c r="AQ85" s="140">
        <v>0</v>
      </c>
      <c r="AR85" s="140">
        <v>0</v>
      </c>
      <c r="AS85" s="98"/>
      <c r="AT85" s="96"/>
      <c r="AU85" s="71"/>
      <c r="AV85" s="71"/>
      <c r="AW85" s="71"/>
      <c r="AX85" s="71"/>
      <c r="AY85" s="71"/>
      <c r="AZ85" s="71">
        <v>86</v>
      </c>
      <c r="BA85" s="71">
        <v>85</v>
      </c>
      <c r="BB85" s="71"/>
      <c r="BC85" s="71"/>
      <c r="BD85" s="71"/>
      <c r="BE85" s="71"/>
      <c r="BF85" s="71"/>
      <c r="BG85" s="78"/>
      <c r="BH85" s="91"/>
      <c r="BI85" s="71"/>
      <c r="BJ85" s="71"/>
      <c r="BK85" s="78"/>
      <c r="BL85" s="91"/>
    </row>
    <row r="86" spans="1:64" ht="13.15" thickTop="1" x14ac:dyDescent="0.25">
      <c r="A86" s="274">
        <v>23</v>
      </c>
      <c r="B86" s="261"/>
      <c r="C86" s="261"/>
      <c r="D86" s="274" t="str">
        <f>PHONETIC(B86)&amp;" "&amp; PHONETIC(C86)</f>
        <v xml:space="preserve"> </v>
      </c>
      <c r="E86" s="48"/>
      <c r="F86" s="49"/>
      <c r="G86" s="38" t="str">
        <f>IF(ISBLANK(F86),"",IF(MONTH($AM$2)&gt;MONTH(F86),YEAR($AM$2)-YEAR(F86),IF(MONTH($AM$2)&lt;MONTH(F86),YEAR($AM$2)-YEAR(F86)-1,IF(DAY($AM$2)&gt;=DAY(F86),YEAR($AM$2)-YEAR(F86),YEAR($AM$2)-YEAR(F86)-1))))</f>
        <v/>
      </c>
      <c r="H86" s="50" t="str">
        <f>IF(S86&gt;0,VLOOKUP(S86,$BV$2:$BY$30,4),"-")</f>
        <v>-</v>
      </c>
      <c r="I86" s="269"/>
      <c r="J86" s="261"/>
      <c r="K86" s="264"/>
      <c r="L86" s="243" t="str">
        <f>IF(AF86&gt;0,VLOOKUP(AF86,$BV$2:$BY$30,4),"-")</f>
        <v>-</v>
      </c>
      <c r="M86" s="269"/>
      <c r="N86" s="261"/>
      <c r="O86" s="264"/>
      <c r="P86" s="243" t="str">
        <f>IF(AM86&gt;0,VLOOKUP(AM86,$BV$2:$BY$30,4),"-")</f>
        <v>-</v>
      </c>
      <c r="Q86" s="51"/>
      <c r="R86" s="51"/>
      <c r="S86" s="137">
        <f>IF(S87&gt;0,SMALL(T86:AD88,S88+1),0)</f>
        <v>0</v>
      </c>
      <c r="T86" s="95">
        <f>IF(ISBLANK(B86),0,IF(ISBLANK(E86),2,0))</f>
        <v>0</v>
      </c>
      <c r="U86" s="95">
        <f>IF(ISBLANK(B86),0,IF(ISBLANK(F86),3,0))</f>
        <v>0</v>
      </c>
      <c r="V86" s="95">
        <f>IF(ISBLANK(B86),0,IF(G86&lt;=17,4,0))</f>
        <v>0</v>
      </c>
      <c r="W86" s="95">
        <v>0</v>
      </c>
      <c r="X86" s="95">
        <v>0</v>
      </c>
      <c r="Y86" s="94">
        <v>0</v>
      </c>
      <c r="Z86" s="95">
        <v>0</v>
      </c>
      <c r="AA86" s="95">
        <v>0</v>
      </c>
      <c r="AB86" s="95">
        <v>0</v>
      </c>
      <c r="AC86" s="95">
        <v>0</v>
      </c>
      <c r="AD86" s="95">
        <v>0</v>
      </c>
      <c r="AE86" s="95"/>
      <c r="AF86" s="127">
        <f>IF(AF87&gt;0,SMALL(AG86:AK88,AF88+1),0)</f>
        <v>0</v>
      </c>
      <c r="AG86" s="102">
        <f>IF(ISBLANK(I86),10,0)</f>
        <v>10</v>
      </c>
      <c r="AH86" s="102">
        <f>IF(ISBLANK(J86),11,0)</f>
        <v>11</v>
      </c>
      <c r="AI86" s="102">
        <f>IF(ISBLANK(K86),13,0)</f>
        <v>13</v>
      </c>
      <c r="AJ86" s="102">
        <f>IF(ISNUMBER(K86),0,17)</f>
        <v>17</v>
      </c>
      <c r="AK86" s="101">
        <v>0</v>
      </c>
      <c r="AL86" s="102"/>
      <c r="AM86" s="141">
        <f>IF(AM87&gt;0,SMALL(AN86:AR88,AM88+1),0)</f>
        <v>0</v>
      </c>
      <c r="AN86" s="142">
        <f>IF(AF87=0,IF(ISBLANK(M86),IF(ISBLANK(N86),IF(ISBLANK(O86),0,21),21),0))</f>
        <v>0</v>
      </c>
      <c r="AO86" s="142">
        <f>IF(ISBLANK(M86),IF(ISBLANK(N86),0,22),IF(ISBLANK(N86),22,0))</f>
        <v>0</v>
      </c>
      <c r="AP86" s="142">
        <f>IF(ISBLANK(M86),0,IF(ISBLANK(O86),24,0))</f>
        <v>0</v>
      </c>
      <c r="AQ86" s="142">
        <f>IF(ISBLANK(O86),0,IF(ISNUMBER(O86),0,28))</f>
        <v>0</v>
      </c>
      <c r="AR86" s="142">
        <v>0</v>
      </c>
      <c r="AS86" s="102"/>
      <c r="AT86" s="100" t="e">
        <f>VLOOKUP(G86,$AZ$17:$BA$138,2)</f>
        <v>#N/A</v>
      </c>
      <c r="AU86" s="71"/>
      <c r="AV86" s="71"/>
      <c r="AW86" s="71"/>
      <c r="AX86" s="71"/>
      <c r="AY86" s="71"/>
      <c r="AZ86" s="71">
        <v>87</v>
      </c>
      <c r="BA86" s="71">
        <v>85</v>
      </c>
      <c r="BB86" s="71"/>
      <c r="BC86" s="71"/>
      <c r="BD86" s="71"/>
      <c r="BE86" s="71"/>
      <c r="BF86" s="71">
        <f>IF(E86="男",100,IF(E86="女",200,0))</f>
        <v>0</v>
      </c>
      <c r="BG86" s="78">
        <f>IF(I86="自由形",10,IF(I86="平泳ぎ",20,IF(I86="背泳ぎ",30,IF(I86="バタフライ",40,IF(I86="個人メドレー",50,0)))))</f>
        <v>0</v>
      </c>
      <c r="BH86" s="91">
        <f>IF(J86=25,1,IF(J86=50,2,IF(J86=100,3,0)))</f>
        <v>0</v>
      </c>
      <c r="BI86" s="71">
        <f>IF(M86="自由形",10,IF(M86="平泳ぎ",20,IF(M86="背泳ぎ",30,IF(M86="バタフライ",40,IF(M86="個人メドレー",50,0)))))</f>
        <v>0</v>
      </c>
      <c r="BJ86" s="71">
        <f>IF(N86=25,1,IF(N86=50,2,IF(N86=100,3,0)))</f>
        <v>0</v>
      </c>
      <c r="BK86" s="78">
        <f>BF86+BG86+BH86</f>
        <v>0</v>
      </c>
      <c r="BL86" s="91">
        <f>BF86+BI86+BJ86</f>
        <v>0</v>
      </c>
    </row>
    <row r="87" spans="1:64" x14ac:dyDescent="0.25">
      <c r="A87" s="275"/>
      <c r="B87" s="277"/>
      <c r="C87" s="279"/>
      <c r="D87" s="278"/>
      <c r="E87" s="54"/>
      <c r="F87" s="287"/>
      <c r="G87" s="247"/>
      <c r="H87" s="55"/>
      <c r="I87" s="270"/>
      <c r="J87" s="262"/>
      <c r="K87" s="265"/>
      <c r="L87" s="244"/>
      <c r="M87" s="270"/>
      <c r="N87" s="262"/>
      <c r="O87" s="265"/>
      <c r="P87" s="244"/>
      <c r="Q87" s="51"/>
      <c r="R87" s="51"/>
      <c r="S87" s="137">
        <f>IF(ISBLANK(B86),0,COUNTIF(T86:AD88,"&gt;0"))</f>
        <v>0</v>
      </c>
      <c r="T87" s="95">
        <f>IF(ISBLANK(B86),0,IF(ISBLANK(E87),5,0))</f>
        <v>0</v>
      </c>
      <c r="U87" s="95">
        <f>IF(ISBLANK(B86),0,IF(ISBLANK(F87),6,0))</f>
        <v>0</v>
      </c>
      <c r="V87" s="95">
        <f>IF(ISBLANK(B86),0,IF(ISBLANK(H87),7,0))</f>
        <v>0</v>
      </c>
      <c r="W87" s="95">
        <v>0</v>
      </c>
      <c r="X87" s="95">
        <v>0</v>
      </c>
      <c r="Y87" s="95">
        <f>IF(ISBLANK(B83),IF(ISBLANK(B86),0,1),0)</f>
        <v>0</v>
      </c>
      <c r="Z87" s="95">
        <v>0</v>
      </c>
      <c r="AA87" s="95">
        <v>0</v>
      </c>
      <c r="AB87" s="95">
        <v>0</v>
      </c>
      <c r="AC87" s="95">
        <v>0</v>
      </c>
      <c r="AD87" s="95">
        <v>0</v>
      </c>
      <c r="AE87" s="95"/>
      <c r="AF87" s="127">
        <f>IF(ISBLANK(B86),0,COUNTIF(AG86:AK88,"&gt;0"))</f>
        <v>0</v>
      </c>
      <c r="AG87" s="102">
        <f>IF(I86="個人メドレー",IF(J86&lt;&gt;100,12,0),0)</f>
        <v>0</v>
      </c>
      <c r="AH87" s="102">
        <f>IF(J86=25,IF(K86&lt;1000,14,0),0)</f>
        <v>0</v>
      </c>
      <c r="AI87" s="102">
        <f>IF(J86=50,IF(K86&lt;2000,15,0),0)</f>
        <v>0</v>
      </c>
      <c r="AJ87" s="102">
        <f>IF(J86=100,IF(K86&lt;4500,16,0),0)</f>
        <v>0</v>
      </c>
      <c r="AK87" s="101">
        <v>0</v>
      </c>
      <c r="AL87" s="102"/>
      <c r="AM87" s="141">
        <f>IF(ISBLANK(B86),0,IF(AF87=0,COUNTIF(AN86:AR88,"&gt;0"),COUNTIF(AN88:AP88,"&gt;0")))</f>
        <v>0</v>
      </c>
      <c r="AN87" s="142">
        <f>IF(M86="個人メドレー",IF(N86&lt;&gt;100,23,0),0)</f>
        <v>0</v>
      </c>
      <c r="AO87" s="142">
        <f>IF(N86=25,IF(O86&lt;1000,25,0),0)</f>
        <v>0</v>
      </c>
      <c r="AP87" s="142">
        <f>IF(N86=50,IF(O86&lt;2000,26,0),0)</f>
        <v>0</v>
      </c>
      <c r="AQ87" s="142">
        <f>IF(N86=100,IF(O86&lt;4500,27,0),0)</f>
        <v>0</v>
      </c>
      <c r="AR87" s="142">
        <v>0</v>
      </c>
      <c r="AS87" s="102"/>
      <c r="AT87" s="100"/>
      <c r="AU87" s="71"/>
      <c r="AV87" s="71"/>
      <c r="AW87" s="71"/>
      <c r="AX87" s="71"/>
      <c r="AY87" s="71"/>
      <c r="AZ87" s="71">
        <v>88</v>
      </c>
      <c r="BA87" s="71">
        <v>85</v>
      </c>
      <c r="BB87" s="71"/>
      <c r="BC87" s="71"/>
      <c r="BD87" s="71"/>
      <c r="BE87" s="71"/>
      <c r="BF87" s="71"/>
      <c r="BG87" s="78"/>
      <c r="BH87" s="91"/>
      <c r="BI87" s="71"/>
      <c r="BJ87" s="71"/>
      <c r="BK87" s="78"/>
      <c r="BL87" s="91"/>
    </row>
    <row r="88" spans="1:64" ht="13.15" thickBot="1" x14ac:dyDescent="0.3">
      <c r="A88" s="276"/>
      <c r="B88" s="248"/>
      <c r="C88" s="249"/>
      <c r="D88" s="250"/>
      <c r="E88" s="251"/>
      <c r="F88" s="252"/>
      <c r="G88" s="253"/>
      <c r="H88" s="56"/>
      <c r="I88" s="271"/>
      <c r="J88" s="263"/>
      <c r="K88" s="266"/>
      <c r="L88" s="245"/>
      <c r="M88" s="271"/>
      <c r="N88" s="263"/>
      <c r="O88" s="266"/>
      <c r="P88" s="245"/>
      <c r="Q88" s="52"/>
      <c r="R88" s="53"/>
      <c r="S88" s="132">
        <f>COUNTIF(T86:AD88,"=0")</f>
        <v>31</v>
      </c>
      <c r="T88" s="102">
        <f>IF(COUNTIF(F87,"*区*")=0,IF(ISBLANK(B88),8,0),0)</f>
        <v>8</v>
      </c>
      <c r="U88" s="102">
        <f>IF(COUNTIF(F87,"*区*")=0,IF(ISBLANK(E88),9,0),0)</f>
        <v>9</v>
      </c>
      <c r="V88" s="102">
        <v>0</v>
      </c>
      <c r="W88" s="102">
        <v>0</v>
      </c>
      <c r="X88" s="102">
        <v>0</v>
      </c>
      <c r="Y88" s="102">
        <v>0</v>
      </c>
      <c r="Z88" s="95">
        <v>0</v>
      </c>
      <c r="AA88" s="95">
        <v>0</v>
      </c>
      <c r="AB88" s="95">
        <v>0</v>
      </c>
      <c r="AC88" s="95">
        <v>0</v>
      </c>
      <c r="AD88" s="95">
        <v>0</v>
      </c>
      <c r="AE88" s="95"/>
      <c r="AF88" s="127">
        <f>COUNTIF(AG86:AK88,"=0")</f>
        <v>11</v>
      </c>
      <c r="AG88" s="102">
        <v>0</v>
      </c>
      <c r="AH88" s="102">
        <v>0</v>
      </c>
      <c r="AI88" s="102">
        <v>0</v>
      </c>
      <c r="AJ88" s="102">
        <v>0</v>
      </c>
      <c r="AK88" s="101">
        <v>0</v>
      </c>
      <c r="AL88" s="102"/>
      <c r="AM88" s="141">
        <f>COUNTIF(AN86:AR88,"=0")</f>
        <v>14</v>
      </c>
      <c r="AN88" s="142">
        <f>IF(I86=M86,IF(J86=N86,29,0),0)</f>
        <v>29</v>
      </c>
      <c r="AO88" s="142">
        <f>IF(AF87=0,0,IF(ISBLANK(N86),0,20))</f>
        <v>0</v>
      </c>
      <c r="AP88" s="142">
        <f>IF(AF87=0,0,IF(ISBLANK(O86),0,20))</f>
        <v>0</v>
      </c>
      <c r="AQ88" s="142">
        <v>0</v>
      </c>
      <c r="AR88" s="142">
        <v>0</v>
      </c>
      <c r="AS88" s="102"/>
      <c r="AT88" s="100"/>
      <c r="AU88" s="71"/>
      <c r="AV88" s="71"/>
      <c r="AW88" s="71"/>
      <c r="AX88" s="71"/>
      <c r="AY88" s="71"/>
      <c r="AZ88" s="71">
        <v>89</v>
      </c>
      <c r="BA88" s="71">
        <v>85</v>
      </c>
      <c r="BB88" s="71"/>
      <c r="BC88" s="71"/>
      <c r="BD88" s="71"/>
      <c r="BE88" s="71"/>
      <c r="BF88" s="71"/>
      <c r="BG88" s="78"/>
      <c r="BH88" s="91"/>
      <c r="BI88" s="71"/>
      <c r="BJ88" s="71"/>
      <c r="BK88" s="78"/>
      <c r="BL88" s="91"/>
    </row>
    <row r="89" spans="1:64" ht="13.15" thickTop="1" x14ac:dyDescent="0.25">
      <c r="A89" s="211">
        <v>24</v>
      </c>
      <c r="B89" s="254"/>
      <c r="C89" s="254"/>
      <c r="D89" s="211" t="str">
        <f>PHONETIC(B89)&amp;" "&amp; PHONETIC(C89)</f>
        <v xml:space="preserve"> </v>
      </c>
      <c r="E89" s="43"/>
      <c r="F89" s="40"/>
      <c r="G89" s="37" t="str">
        <f>IF(ISBLANK(F89),"",IF(MONTH($AM$2)&gt;MONTH(F89),YEAR($AM$2)-YEAR(F89),IF(MONTH($AM$2)&lt;MONTH(F89),YEAR($AM$2)-YEAR(F89)-1,IF(DAY($AM$2)&gt;=DAY(F89),YEAR($AM$2)-YEAR(F89),YEAR($AM$2)-YEAR(F89)-1))))</f>
        <v/>
      </c>
      <c r="H89" s="42" t="str">
        <f>IF(S89&gt;0,VLOOKUP(S89,$BV$2:$BY$30,4),"-")</f>
        <v>-</v>
      </c>
      <c r="I89" s="256"/>
      <c r="J89" s="254"/>
      <c r="K89" s="235"/>
      <c r="L89" s="238" t="str">
        <f>IF(AF89&gt;0,VLOOKUP(AF89,$BV$2:$BY$30,4),"-")</f>
        <v>-</v>
      </c>
      <c r="M89" s="256"/>
      <c r="N89" s="254"/>
      <c r="O89" s="235"/>
      <c r="P89" s="238" t="str">
        <f>IF(AM89&gt;0,VLOOKUP(AM89,$BV$2:$BY$30,4),"-")</f>
        <v>-</v>
      </c>
      <c r="Q89" s="45"/>
      <c r="R89" s="45"/>
      <c r="S89" s="135">
        <f>IF(S90&gt;0,SMALL(T89:AD91,S91+1),0)</f>
        <v>0</v>
      </c>
      <c r="T89" s="94">
        <f>IF(ISBLANK(B89),0,IF(ISBLANK(E89),2,0))</f>
        <v>0</v>
      </c>
      <c r="U89" s="94">
        <f>IF(ISBLANK(B89),0,IF(ISBLANK(F89),3,0))</f>
        <v>0</v>
      </c>
      <c r="V89" s="94">
        <f>IF(ISBLANK(B89),0,IF(G89&lt;=17,4,0))</f>
        <v>0</v>
      </c>
      <c r="W89" s="94">
        <v>0</v>
      </c>
      <c r="X89" s="94">
        <v>0</v>
      </c>
      <c r="Y89" s="94">
        <v>0</v>
      </c>
      <c r="Z89" s="94">
        <v>0</v>
      </c>
      <c r="AA89" s="94">
        <v>0</v>
      </c>
      <c r="AB89" s="94">
        <v>0</v>
      </c>
      <c r="AC89" s="94">
        <v>0</v>
      </c>
      <c r="AD89" s="94">
        <v>0</v>
      </c>
      <c r="AE89" s="94"/>
      <c r="AF89" s="128">
        <f>IF(AF90&gt;0,SMALL(AG89:AK91,AF91+1),0)</f>
        <v>0</v>
      </c>
      <c r="AG89" s="98">
        <f>IF(ISBLANK(I89),10,0)</f>
        <v>10</v>
      </c>
      <c r="AH89" s="98">
        <f>IF(ISBLANK(J89),11,0)</f>
        <v>11</v>
      </c>
      <c r="AI89" s="98">
        <f>IF(ISBLANK(K89),13,0)</f>
        <v>13</v>
      </c>
      <c r="AJ89" s="98">
        <f>IF(ISNUMBER(K89),0,17)</f>
        <v>17</v>
      </c>
      <c r="AK89" s="97">
        <v>0</v>
      </c>
      <c r="AL89" s="98"/>
      <c r="AM89" s="138">
        <f>IF(AM90&gt;0,SMALL(AN89:AR91,AM91+1),0)</f>
        <v>0</v>
      </c>
      <c r="AN89" s="140">
        <f>IF(AF90=0,IF(ISBLANK(M89),IF(ISBLANK(N89),IF(ISBLANK(O89),0,21),21),0))</f>
        <v>0</v>
      </c>
      <c r="AO89" s="140">
        <f>IF(ISBLANK(M89),IF(ISBLANK(N89),0,22),IF(ISBLANK(N89),22,0))</f>
        <v>0</v>
      </c>
      <c r="AP89" s="140">
        <f>IF(ISBLANK(M89),0,IF(ISBLANK(O89),24,0))</f>
        <v>0</v>
      </c>
      <c r="AQ89" s="140">
        <f>IF(ISBLANK(O89),0,IF(ISNUMBER(O89),0,28))</f>
        <v>0</v>
      </c>
      <c r="AR89" s="140">
        <v>0</v>
      </c>
      <c r="AS89" s="98"/>
      <c r="AT89" s="96" t="e">
        <f>VLOOKUP(G89,$AZ$17:$BA$138,2)</f>
        <v>#N/A</v>
      </c>
      <c r="AU89" s="71"/>
      <c r="AV89" s="71"/>
      <c r="AW89" s="71"/>
      <c r="AX89" s="71"/>
      <c r="AY89" s="71"/>
      <c r="AZ89" s="71">
        <v>90</v>
      </c>
      <c r="BA89" s="71">
        <v>90</v>
      </c>
      <c r="BB89" s="71"/>
      <c r="BC89" s="71"/>
      <c r="BD89" s="71"/>
      <c r="BE89" s="71"/>
      <c r="BF89" s="71">
        <f>IF(E89="男",100,IF(E89="女",200,0))</f>
        <v>0</v>
      </c>
      <c r="BG89" s="78">
        <f>IF(I89="自由形",10,IF(I89="平泳ぎ",20,IF(I89="背泳ぎ",30,IF(I89="バタフライ",40,IF(I89="個人メドレー",50,0)))))</f>
        <v>0</v>
      </c>
      <c r="BH89" s="91">
        <f>IF(J89=25,1,IF(J89=50,2,IF(J89=100,3,0)))</f>
        <v>0</v>
      </c>
      <c r="BI89" s="71">
        <f>IF(M89="自由形",10,IF(M89="平泳ぎ",20,IF(M89="背泳ぎ",30,IF(M89="バタフライ",40,IF(M89="個人メドレー",50,0)))))</f>
        <v>0</v>
      </c>
      <c r="BJ89" s="71">
        <f>IF(N89=25,1,IF(N89=50,2,IF(N89=100,3,0)))</f>
        <v>0</v>
      </c>
      <c r="BK89" s="78">
        <f>BF89+BG89+BH89</f>
        <v>0</v>
      </c>
      <c r="BL89" s="91">
        <f>BF89+BI89+BJ89</f>
        <v>0</v>
      </c>
    </row>
    <row r="90" spans="1:64" x14ac:dyDescent="0.25">
      <c r="A90" s="212"/>
      <c r="B90" s="255"/>
      <c r="C90" s="279"/>
      <c r="D90" s="216"/>
      <c r="E90" s="44"/>
      <c r="F90" s="286"/>
      <c r="G90" s="242"/>
      <c r="H90" s="39"/>
      <c r="I90" s="257"/>
      <c r="J90" s="259"/>
      <c r="K90" s="236"/>
      <c r="L90" s="239"/>
      <c r="M90" s="257"/>
      <c r="N90" s="259"/>
      <c r="O90" s="236"/>
      <c r="P90" s="239"/>
      <c r="Q90" s="45"/>
      <c r="R90" s="45"/>
      <c r="S90" s="135">
        <f>IF(ISBLANK(B89),0,COUNTIF(T89:AD91,"&gt;0"))</f>
        <v>0</v>
      </c>
      <c r="T90" s="94">
        <f>IF(ISBLANK(B89),0,IF(ISBLANK(E90),5,0))</f>
        <v>0</v>
      </c>
      <c r="U90" s="94">
        <f>IF(ISBLANK(B89),0,IF(ISBLANK(F90),6,0))</f>
        <v>0</v>
      </c>
      <c r="V90" s="94">
        <f>IF(ISBLANK(B89),0,IF(ISBLANK(H90),7,0))</f>
        <v>0</v>
      </c>
      <c r="W90" s="94">
        <v>0</v>
      </c>
      <c r="X90" s="94">
        <v>0</v>
      </c>
      <c r="Y90" s="94">
        <f>IF(ISBLANK(B86),IF(ISBLANK(B89),0,1),0)</f>
        <v>0</v>
      </c>
      <c r="Z90" s="94">
        <v>0</v>
      </c>
      <c r="AA90" s="94">
        <v>0</v>
      </c>
      <c r="AB90" s="94">
        <v>0</v>
      </c>
      <c r="AC90" s="94">
        <v>0</v>
      </c>
      <c r="AD90" s="94">
        <v>0</v>
      </c>
      <c r="AE90" s="94"/>
      <c r="AF90" s="128">
        <f>IF(ISBLANK(B89),0,COUNTIF(AG89:AK91,"&gt;0"))</f>
        <v>0</v>
      </c>
      <c r="AG90" s="98">
        <f>IF(I89="個人メドレー",IF(J89&lt;&gt;100,12,0),0)</f>
        <v>0</v>
      </c>
      <c r="AH90" s="98">
        <f>IF(J89=25,IF(K89&lt;1000,14,0),0)</f>
        <v>0</v>
      </c>
      <c r="AI90" s="98">
        <f>IF(J89=50,IF(K89&lt;2000,15,0),0)</f>
        <v>0</v>
      </c>
      <c r="AJ90" s="98">
        <f>IF(J89=100,IF(K89&lt;4500,16,0),0)</f>
        <v>0</v>
      </c>
      <c r="AK90" s="97">
        <v>0</v>
      </c>
      <c r="AL90" s="98"/>
      <c r="AM90" s="138">
        <f>IF(ISBLANK(B89),0,IF(AF90=0,COUNTIF(AN89:AR91,"&gt;0"),COUNTIF(AN91:AP91,"&gt;0")))</f>
        <v>0</v>
      </c>
      <c r="AN90" s="140">
        <f>IF(M89="個人メドレー",IF(N89&lt;&gt;100,23,0),0)</f>
        <v>0</v>
      </c>
      <c r="AO90" s="140">
        <f>IF(N89=25,IF(O89&lt;1000,25,0),0)</f>
        <v>0</v>
      </c>
      <c r="AP90" s="140">
        <f>IF(N89=50,IF(O89&lt;2000,26,0),0)</f>
        <v>0</v>
      </c>
      <c r="AQ90" s="140">
        <f>IF(N89=100,IF(O89&lt;4500,27,0),0)</f>
        <v>0</v>
      </c>
      <c r="AR90" s="140">
        <v>0</v>
      </c>
      <c r="AS90" s="98"/>
      <c r="AT90" s="96"/>
      <c r="AU90" s="71"/>
      <c r="AV90" s="71"/>
      <c r="AW90" s="71"/>
      <c r="AX90" s="71"/>
      <c r="AY90" s="71"/>
      <c r="AZ90" s="71">
        <v>91</v>
      </c>
      <c r="BA90" s="71">
        <v>90</v>
      </c>
      <c r="BB90" s="71"/>
      <c r="BC90" s="71"/>
      <c r="BD90" s="71"/>
      <c r="BE90" s="71"/>
      <c r="BF90" s="71"/>
      <c r="BG90" s="78"/>
      <c r="BH90" s="91"/>
      <c r="BI90" s="71"/>
      <c r="BJ90" s="71"/>
      <c r="BK90" s="78"/>
      <c r="BL90" s="91"/>
    </row>
    <row r="91" spans="1:64" ht="13.15" thickBot="1" x14ac:dyDescent="0.3">
      <c r="A91" s="213"/>
      <c r="B91" s="280"/>
      <c r="C91" s="281"/>
      <c r="D91" s="282"/>
      <c r="E91" s="283"/>
      <c r="F91" s="284"/>
      <c r="G91" s="285"/>
      <c r="H91" s="41"/>
      <c r="I91" s="258"/>
      <c r="J91" s="260"/>
      <c r="K91" s="237"/>
      <c r="L91" s="240"/>
      <c r="M91" s="258"/>
      <c r="N91" s="260"/>
      <c r="O91" s="237"/>
      <c r="P91" s="240"/>
      <c r="Q91" s="46"/>
      <c r="R91" s="47"/>
      <c r="S91" s="136">
        <f>COUNTIF(T89:AD91,"=0")</f>
        <v>31</v>
      </c>
      <c r="T91" s="98">
        <f>IF(COUNTIF(F90,"*区*")=0,IF(ISBLANK(B91),8,0),0)</f>
        <v>8</v>
      </c>
      <c r="U91" s="98">
        <f>IF(COUNTIF(F90,"*区*")=0,IF(ISBLANK(E91),9,0),0)</f>
        <v>9</v>
      </c>
      <c r="V91" s="98">
        <v>0</v>
      </c>
      <c r="W91" s="98">
        <v>0</v>
      </c>
      <c r="X91" s="98">
        <v>0</v>
      </c>
      <c r="Y91" s="98">
        <v>0</v>
      </c>
      <c r="Z91" s="94">
        <v>0</v>
      </c>
      <c r="AA91" s="94">
        <v>0</v>
      </c>
      <c r="AB91" s="94">
        <v>0</v>
      </c>
      <c r="AC91" s="94">
        <v>0</v>
      </c>
      <c r="AD91" s="94">
        <v>0</v>
      </c>
      <c r="AE91" s="94"/>
      <c r="AF91" s="128">
        <f>COUNTIF(AG89:AK91,"=0")</f>
        <v>11</v>
      </c>
      <c r="AG91" s="98">
        <v>0</v>
      </c>
      <c r="AH91" s="98">
        <v>0</v>
      </c>
      <c r="AI91" s="98">
        <v>0</v>
      </c>
      <c r="AJ91" s="98">
        <v>0</v>
      </c>
      <c r="AK91" s="97">
        <v>0</v>
      </c>
      <c r="AL91" s="98"/>
      <c r="AM91" s="138">
        <f>COUNTIF(AN89:AR91,"=0")</f>
        <v>14</v>
      </c>
      <c r="AN91" s="140">
        <f>IF(I89=M89,IF(J89=N89,29,0),0)</f>
        <v>29</v>
      </c>
      <c r="AO91" s="140">
        <f>IF(AF90=0,0,IF(ISBLANK(N89),0,20))</f>
        <v>0</v>
      </c>
      <c r="AP91" s="140">
        <f>IF(AF90=0,0,IF(ISBLANK(O89),0,20))</f>
        <v>0</v>
      </c>
      <c r="AQ91" s="140">
        <v>0</v>
      </c>
      <c r="AR91" s="140">
        <v>0</v>
      </c>
      <c r="AS91" s="98"/>
      <c r="AT91" s="96"/>
      <c r="AU91" s="71"/>
      <c r="AV91" s="71"/>
      <c r="AW91" s="71"/>
      <c r="AX91" s="71"/>
      <c r="AY91" s="71"/>
      <c r="AZ91" s="71">
        <v>92</v>
      </c>
      <c r="BA91" s="71">
        <v>90</v>
      </c>
      <c r="BB91" s="71"/>
      <c r="BC91" s="71"/>
      <c r="BD91" s="71"/>
      <c r="BE91" s="71"/>
      <c r="BF91" s="71"/>
      <c r="BG91" s="78"/>
      <c r="BH91" s="91"/>
      <c r="BI91" s="71"/>
      <c r="BJ91" s="71"/>
      <c r="BK91" s="78"/>
      <c r="BL91" s="91"/>
    </row>
    <row r="92" spans="1:64" ht="13.15" thickTop="1" x14ac:dyDescent="0.25">
      <c r="A92" s="274">
        <v>25</v>
      </c>
      <c r="B92" s="261"/>
      <c r="C92" s="261"/>
      <c r="D92" s="274" t="str">
        <f>PHONETIC(B92)&amp;" "&amp; PHONETIC(C92)</f>
        <v xml:space="preserve"> </v>
      </c>
      <c r="E92" s="48"/>
      <c r="F92" s="49"/>
      <c r="G92" s="38" t="str">
        <f>IF(ISBLANK(F92),"",IF(MONTH($AM$2)&gt;MONTH(F92),YEAR($AM$2)-YEAR(F92),IF(MONTH($AM$2)&lt;MONTH(F92),YEAR($AM$2)-YEAR(F92)-1,IF(DAY($AM$2)&gt;=DAY(F92),YEAR($AM$2)-YEAR(F92),YEAR($AM$2)-YEAR(F92)-1))))</f>
        <v/>
      </c>
      <c r="H92" s="50" t="str">
        <f>IF(S92&gt;0,VLOOKUP(S92,$BV$2:$BY$30,4),"-")</f>
        <v>-</v>
      </c>
      <c r="I92" s="269"/>
      <c r="J92" s="261"/>
      <c r="K92" s="264"/>
      <c r="L92" s="243" t="str">
        <f>IF(AF92&gt;0,VLOOKUP(AF92,$BV$2:$BY$30,4),"-")</f>
        <v>-</v>
      </c>
      <c r="M92" s="269"/>
      <c r="N92" s="261"/>
      <c r="O92" s="264"/>
      <c r="P92" s="243" t="str">
        <f>IF(AM92&gt;0,VLOOKUP(AM92,$BV$2:$BY$30,4),"-")</f>
        <v>-</v>
      </c>
      <c r="Q92" s="51"/>
      <c r="R92" s="51"/>
      <c r="S92" s="137">
        <f>IF(S93&gt;0,SMALL(T92:AD94,S94+1),0)</f>
        <v>0</v>
      </c>
      <c r="T92" s="95">
        <f>IF(ISBLANK(B92),0,IF(ISBLANK(E92),2,0))</f>
        <v>0</v>
      </c>
      <c r="U92" s="95">
        <f>IF(ISBLANK(B92),0,IF(ISBLANK(F92),3,0))</f>
        <v>0</v>
      </c>
      <c r="V92" s="95">
        <f>IF(ISBLANK(B92),0,IF(G92&lt;=17,4,0))</f>
        <v>0</v>
      </c>
      <c r="W92" s="95">
        <v>0</v>
      </c>
      <c r="X92" s="95">
        <v>0</v>
      </c>
      <c r="Y92" s="94">
        <v>0</v>
      </c>
      <c r="Z92" s="95">
        <v>0</v>
      </c>
      <c r="AA92" s="95">
        <v>0</v>
      </c>
      <c r="AB92" s="95">
        <v>0</v>
      </c>
      <c r="AC92" s="95">
        <v>0</v>
      </c>
      <c r="AD92" s="95">
        <v>0</v>
      </c>
      <c r="AE92" s="95"/>
      <c r="AF92" s="127">
        <f>IF(AF93&gt;0,SMALL(AG92:AK94,AF94+1),0)</f>
        <v>0</v>
      </c>
      <c r="AG92" s="102">
        <f>IF(ISBLANK(I92),10,0)</f>
        <v>10</v>
      </c>
      <c r="AH92" s="102">
        <f>IF(ISBLANK(J92),11,0)</f>
        <v>11</v>
      </c>
      <c r="AI92" s="102">
        <f>IF(ISBLANK(K92),13,0)</f>
        <v>13</v>
      </c>
      <c r="AJ92" s="102">
        <f>IF(ISNUMBER(K92),0,17)</f>
        <v>17</v>
      </c>
      <c r="AK92" s="101">
        <v>0</v>
      </c>
      <c r="AL92" s="102"/>
      <c r="AM92" s="141">
        <f>IF(AM93&gt;0,SMALL(AN92:AR94,AM94+1),0)</f>
        <v>0</v>
      </c>
      <c r="AN92" s="142">
        <f>IF(AF93=0,IF(ISBLANK(M92),IF(ISBLANK(N92),IF(ISBLANK(O92),0,21),21),0))</f>
        <v>0</v>
      </c>
      <c r="AO92" s="142">
        <f>IF(ISBLANK(M92),IF(ISBLANK(N92),0,22),IF(ISBLANK(N92),22,0))</f>
        <v>0</v>
      </c>
      <c r="AP92" s="142">
        <f>IF(ISBLANK(M92),0,IF(ISBLANK(O92),24,0))</f>
        <v>0</v>
      </c>
      <c r="AQ92" s="142">
        <f>IF(ISBLANK(O92),0,IF(ISNUMBER(O92),0,28))</f>
        <v>0</v>
      </c>
      <c r="AR92" s="142">
        <v>0</v>
      </c>
      <c r="AS92" s="102"/>
      <c r="AT92" s="100" t="e">
        <f>VLOOKUP(G92,$AZ$17:$BA$138,2)</f>
        <v>#N/A</v>
      </c>
      <c r="AU92" s="71"/>
      <c r="AV92" s="71"/>
      <c r="AW92" s="71"/>
      <c r="AX92" s="71"/>
      <c r="AY92" s="71"/>
      <c r="AZ92" s="71">
        <v>93</v>
      </c>
      <c r="BA92" s="71">
        <v>90</v>
      </c>
      <c r="BB92" s="71"/>
      <c r="BC92" s="71"/>
      <c r="BD92" s="71"/>
      <c r="BE92" s="71"/>
      <c r="BF92" s="71">
        <f>IF(E92="男",100,IF(E92="女",200,0))</f>
        <v>0</v>
      </c>
      <c r="BG92" s="78">
        <f>IF(I92="自由形",10,IF(I92="平泳ぎ",20,IF(I92="背泳ぎ",30,IF(I92="バタフライ",40,IF(I92="個人メドレー",50,0)))))</f>
        <v>0</v>
      </c>
      <c r="BH92" s="91">
        <f>IF(J92=25,1,IF(J92=50,2,IF(J92=100,3,0)))</f>
        <v>0</v>
      </c>
      <c r="BI92" s="71">
        <f>IF(M92="自由形",10,IF(M92="平泳ぎ",20,IF(M92="背泳ぎ",30,IF(M92="バタフライ",40,IF(M92="個人メドレー",50,0)))))</f>
        <v>0</v>
      </c>
      <c r="BJ92" s="71">
        <f>IF(N92=25,1,IF(N92=50,2,IF(N92=100,3,0)))</f>
        <v>0</v>
      </c>
      <c r="BK92" s="78">
        <f>BF92+BG92+BH92</f>
        <v>0</v>
      </c>
      <c r="BL92" s="91">
        <f>BF92+BI92+BJ92</f>
        <v>0</v>
      </c>
    </row>
    <row r="93" spans="1:64" x14ac:dyDescent="0.25">
      <c r="A93" s="275"/>
      <c r="B93" s="277"/>
      <c r="C93" s="279"/>
      <c r="D93" s="278"/>
      <c r="E93" s="54"/>
      <c r="F93" s="287"/>
      <c r="G93" s="247"/>
      <c r="H93" s="55"/>
      <c r="I93" s="270"/>
      <c r="J93" s="262"/>
      <c r="K93" s="265"/>
      <c r="L93" s="244"/>
      <c r="M93" s="270"/>
      <c r="N93" s="262"/>
      <c r="O93" s="265"/>
      <c r="P93" s="244"/>
      <c r="Q93" s="51"/>
      <c r="R93" s="51"/>
      <c r="S93" s="137">
        <f>IF(ISBLANK(B92),0,COUNTIF(T92:AD94,"&gt;0"))</f>
        <v>0</v>
      </c>
      <c r="T93" s="95">
        <f>IF(ISBLANK(B92),0,IF(ISBLANK(E93),5,0))</f>
        <v>0</v>
      </c>
      <c r="U93" s="95">
        <f>IF(ISBLANK(B92),0,IF(ISBLANK(F93),6,0))</f>
        <v>0</v>
      </c>
      <c r="V93" s="95">
        <f>IF(ISBLANK(B92),0,IF(ISBLANK(H93),7,0))</f>
        <v>0</v>
      </c>
      <c r="W93" s="95">
        <v>0</v>
      </c>
      <c r="X93" s="95">
        <v>0</v>
      </c>
      <c r="Y93" s="95">
        <f>IF(ISBLANK(B89),IF(ISBLANK(B92),0,1),0)</f>
        <v>0</v>
      </c>
      <c r="Z93" s="95">
        <v>0</v>
      </c>
      <c r="AA93" s="95">
        <v>0</v>
      </c>
      <c r="AB93" s="95">
        <v>0</v>
      </c>
      <c r="AC93" s="95">
        <v>0</v>
      </c>
      <c r="AD93" s="95">
        <v>0</v>
      </c>
      <c r="AE93" s="95"/>
      <c r="AF93" s="127">
        <f>IF(ISBLANK(B92),0,COUNTIF(AG92:AK94,"&gt;0"))</f>
        <v>0</v>
      </c>
      <c r="AG93" s="102">
        <f>IF(I92="個人メドレー",IF(J92&lt;&gt;100,12,0),0)</f>
        <v>0</v>
      </c>
      <c r="AH93" s="102">
        <f>IF(J92=25,IF(K92&lt;1000,14,0),0)</f>
        <v>0</v>
      </c>
      <c r="AI93" s="102">
        <f>IF(J92=50,IF(K92&lt;2000,15,0),0)</f>
        <v>0</v>
      </c>
      <c r="AJ93" s="102">
        <f>IF(J92=100,IF(K92&lt;4500,16,0),0)</f>
        <v>0</v>
      </c>
      <c r="AK93" s="101">
        <v>0</v>
      </c>
      <c r="AL93" s="102"/>
      <c r="AM93" s="141">
        <f>IF(ISBLANK(B92),0,IF(AF93=0,COUNTIF(AN92:AR94,"&gt;0"),COUNTIF(AN94:AP94,"&gt;0")))</f>
        <v>0</v>
      </c>
      <c r="AN93" s="142">
        <f>IF(M92="個人メドレー",IF(N92&lt;&gt;100,23,0),0)</f>
        <v>0</v>
      </c>
      <c r="AO93" s="142">
        <f>IF(N92=25,IF(O92&lt;1000,25,0),0)</f>
        <v>0</v>
      </c>
      <c r="AP93" s="142">
        <f>IF(N92=50,IF(O92&lt;2000,26,0),0)</f>
        <v>0</v>
      </c>
      <c r="AQ93" s="142">
        <f>IF(N92=100,IF(O92&lt;4500,27,0),0)</f>
        <v>0</v>
      </c>
      <c r="AR93" s="142">
        <v>0</v>
      </c>
      <c r="AS93" s="102"/>
      <c r="AT93" s="100"/>
      <c r="AU93" s="71"/>
      <c r="AV93" s="71"/>
      <c r="AW93" s="71"/>
      <c r="AX93" s="71"/>
      <c r="AY93" s="71"/>
      <c r="AZ93" s="71">
        <v>94</v>
      </c>
      <c r="BA93" s="71">
        <v>90</v>
      </c>
      <c r="BB93" s="71"/>
      <c r="BC93" s="71"/>
      <c r="BD93" s="71"/>
      <c r="BE93" s="71"/>
      <c r="BF93" s="71"/>
      <c r="BG93" s="78"/>
      <c r="BH93" s="91"/>
      <c r="BI93" s="71"/>
      <c r="BJ93" s="71"/>
      <c r="BK93" s="78"/>
      <c r="BL93" s="91"/>
    </row>
    <row r="94" spans="1:64" ht="13.15" thickBot="1" x14ac:dyDescent="0.3">
      <c r="A94" s="276"/>
      <c r="B94" s="248"/>
      <c r="C94" s="249"/>
      <c r="D94" s="250"/>
      <c r="E94" s="251"/>
      <c r="F94" s="252"/>
      <c r="G94" s="253"/>
      <c r="H94" s="56"/>
      <c r="I94" s="271"/>
      <c r="J94" s="263"/>
      <c r="K94" s="266"/>
      <c r="L94" s="245"/>
      <c r="M94" s="271"/>
      <c r="N94" s="263"/>
      <c r="O94" s="266"/>
      <c r="P94" s="245"/>
      <c r="Q94" s="52"/>
      <c r="R94" s="53"/>
      <c r="S94" s="132">
        <f>COUNTIF(T92:AD94,"=0")</f>
        <v>31</v>
      </c>
      <c r="T94" s="102">
        <f>IF(COUNTIF(F93,"*区*")=0,IF(ISBLANK(B94),8,0),0)</f>
        <v>8</v>
      </c>
      <c r="U94" s="102">
        <f>IF(COUNTIF(F93,"*区*")=0,IF(ISBLANK(E94),9,0),0)</f>
        <v>9</v>
      </c>
      <c r="V94" s="102">
        <v>0</v>
      </c>
      <c r="W94" s="102">
        <v>0</v>
      </c>
      <c r="X94" s="102">
        <v>0</v>
      </c>
      <c r="Y94" s="102">
        <v>0</v>
      </c>
      <c r="Z94" s="95">
        <v>0</v>
      </c>
      <c r="AA94" s="95">
        <v>0</v>
      </c>
      <c r="AB94" s="95">
        <v>0</v>
      </c>
      <c r="AC94" s="95">
        <v>0</v>
      </c>
      <c r="AD94" s="95">
        <v>0</v>
      </c>
      <c r="AE94" s="95"/>
      <c r="AF94" s="127">
        <f>COUNTIF(AG92:AK94,"=0")</f>
        <v>11</v>
      </c>
      <c r="AG94" s="102">
        <v>0</v>
      </c>
      <c r="AH94" s="102">
        <v>0</v>
      </c>
      <c r="AI94" s="102">
        <v>0</v>
      </c>
      <c r="AJ94" s="102">
        <v>0</v>
      </c>
      <c r="AK94" s="101">
        <v>0</v>
      </c>
      <c r="AL94" s="102"/>
      <c r="AM94" s="141">
        <f>COUNTIF(AN92:AR94,"=0")</f>
        <v>14</v>
      </c>
      <c r="AN94" s="142">
        <f>IF(I92=M92,IF(J92=N92,29,0),0)</f>
        <v>29</v>
      </c>
      <c r="AO94" s="142">
        <f>IF(AF93=0,0,IF(ISBLANK(N92),0,20))</f>
        <v>0</v>
      </c>
      <c r="AP94" s="142">
        <f>IF(AF93=0,0,IF(ISBLANK(O92),0,20))</f>
        <v>0</v>
      </c>
      <c r="AQ94" s="142">
        <v>0</v>
      </c>
      <c r="AR94" s="142">
        <v>0</v>
      </c>
      <c r="AS94" s="102"/>
      <c r="AT94" s="100"/>
      <c r="AU94" s="71"/>
      <c r="AV94" s="71"/>
      <c r="AW94" s="71"/>
      <c r="AX94" s="71"/>
      <c r="AY94" s="71"/>
      <c r="AZ94" s="71">
        <v>95</v>
      </c>
      <c r="BA94" s="71">
        <v>95</v>
      </c>
      <c r="BB94" s="71"/>
      <c r="BC94" s="71"/>
      <c r="BD94" s="71"/>
      <c r="BE94" s="71"/>
      <c r="BF94" s="71"/>
      <c r="BG94" s="78"/>
      <c r="BH94" s="91"/>
      <c r="BI94" s="71"/>
      <c r="BJ94" s="71"/>
      <c r="BK94" s="78"/>
      <c r="BL94" s="91"/>
    </row>
    <row r="95" spans="1:64" ht="13.15" thickTop="1" x14ac:dyDescent="0.25">
      <c r="A95" s="211">
        <v>26</v>
      </c>
      <c r="B95" s="254"/>
      <c r="C95" s="254"/>
      <c r="D95" s="211" t="str">
        <f>PHONETIC(B95)&amp;" "&amp; PHONETIC(C95)</f>
        <v xml:space="preserve"> </v>
      </c>
      <c r="E95" s="43"/>
      <c r="F95" s="40"/>
      <c r="G95" s="37" t="str">
        <f>IF(ISBLANK(F95),"",IF(MONTH($AM$2)&gt;MONTH(F95),YEAR($AM$2)-YEAR(F95),IF(MONTH($AM$2)&lt;MONTH(F95),YEAR($AM$2)-YEAR(F95)-1,IF(DAY($AM$2)&gt;=DAY(F95),YEAR($AM$2)-YEAR(F95),YEAR($AM$2)-YEAR(F95)-1))))</f>
        <v/>
      </c>
      <c r="H95" s="42" t="str">
        <f>IF(S95&gt;0,VLOOKUP(S95,$BV$2:$BY$30,4),"-")</f>
        <v>-</v>
      </c>
      <c r="I95" s="256"/>
      <c r="J95" s="254"/>
      <c r="K95" s="235"/>
      <c r="L95" s="238" t="str">
        <f>IF(AF95&gt;0,VLOOKUP(AF95,$BV$2:$BY$30,4),"-")</f>
        <v>-</v>
      </c>
      <c r="M95" s="256"/>
      <c r="N95" s="254"/>
      <c r="O95" s="235"/>
      <c r="P95" s="238" t="str">
        <f>IF(AM95&gt;0,VLOOKUP(AM95,$BV$2:$BY$30,4),"-")</f>
        <v>-</v>
      </c>
      <c r="Q95" s="45"/>
      <c r="R95" s="45"/>
      <c r="S95" s="135">
        <f>IF(S96&gt;0,SMALL(T95:AD97,S97+1),0)</f>
        <v>0</v>
      </c>
      <c r="T95" s="94">
        <f>IF(ISBLANK(B95),0,IF(ISBLANK(E95),2,0))</f>
        <v>0</v>
      </c>
      <c r="U95" s="94">
        <f>IF(ISBLANK(B95),0,IF(ISBLANK(F95),3,0))</f>
        <v>0</v>
      </c>
      <c r="V95" s="94">
        <f>IF(ISBLANK(B95),0,IF(G95&lt;=17,4,0))</f>
        <v>0</v>
      </c>
      <c r="W95" s="94">
        <v>0</v>
      </c>
      <c r="X95" s="94">
        <v>0</v>
      </c>
      <c r="Y95" s="94">
        <v>0</v>
      </c>
      <c r="Z95" s="94">
        <v>0</v>
      </c>
      <c r="AA95" s="94">
        <v>0</v>
      </c>
      <c r="AB95" s="94">
        <v>0</v>
      </c>
      <c r="AC95" s="94">
        <v>0</v>
      </c>
      <c r="AD95" s="94">
        <v>0</v>
      </c>
      <c r="AE95" s="94"/>
      <c r="AF95" s="128">
        <f>IF(AF96&gt;0,SMALL(AG95:AK97,AF97+1),0)</f>
        <v>0</v>
      </c>
      <c r="AG95" s="98">
        <f>IF(ISBLANK(I95),10,0)</f>
        <v>10</v>
      </c>
      <c r="AH95" s="98">
        <f>IF(ISBLANK(J95),11,0)</f>
        <v>11</v>
      </c>
      <c r="AI95" s="98">
        <f>IF(ISBLANK(K95),13,0)</f>
        <v>13</v>
      </c>
      <c r="AJ95" s="98">
        <f>IF(ISNUMBER(K95),0,17)</f>
        <v>17</v>
      </c>
      <c r="AK95" s="97">
        <v>0</v>
      </c>
      <c r="AL95" s="98"/>
      <c r="AM95" s="138">
        <f>IF(AM96&gt;0,SMALL(AN95:AR97,AM97+1),0)</f>
        <v>0</v>
      </c>
      <c r="AN95" s="140">
        <f>IF(AF96=0,IF(ISBLANK(M95),IF(ISBLANK(N95),IF(ISBLANK(O95),0,21),21),0))</f>
        <v>0</v>
      </c>
      <c r="AO95" s="140">
        <f>IF(ISBLANK(M95),IF(ISBLANK(N95),0,22),IF(ISBLANK(N95),22,0))</f>
        <v>0</v>
      </c>
      <c r="AP95" s="140">
        <f>IF(ISBLANK(M95),0,IF(ISBLANK(O95),24,0))</f>
        <v>0</v>
      </c>
      <c r="AQ95" s="140">
        <f>IF(ISBLANK(O95),0,IF(ISNUMBER(O95),0,28))</f>
        <v>0</v>
      </c>
      <c r="AR95" s="140">
        <v>0</v>
      </c>
      <c r="AS95" s="98"/>
      <c r="AT95" s="96" t="e">
        <f>VLOOKUP(G95,$AZ$17:$BA$138,2)</f>
        <v>#N/A</v>
      </c>
      <c r="AU95" s="71"/>
      <c r="AV95" s="71"/>
      <c r="AW95" s="71"/>
      <c r="AX95" s="71"/>
      <c r="AY95" s="71"/>
      <c r="AZ95" s="71">
        <v>96</v>
      </c>
      <c r="BA95" s="71">
        <v>95</v>
      </c>
      <c r="BB95" s="71"/>
      <c r="BC95" s="71"/>
      <c r="BD95" s="71"/>
      <c r="BE95" s="71"/>
      <c r="BF95" s="71">
        <f>IF(E95="男",100,IF(E95="女",200,0))</f>
        <v>0</v>
      </c>
      <c r="BG95" s="78">
        <f>IF(I95="自由形",10,IF(I95="平泳ぎ",20,IF(I95="背泳ぎ",30,IF(I95="バタフライ",40,IF(I95="個人メドレー",50,0)))))</f>
        <v>0</v>
      </c>
      <c r="BH95" s="91">
        <f>IF(J95=25,1,IF(J95=50,2,IF(J95=100,3,0)))</f>
        <v>0</v>
      </c>
      <c r="BI95" s="71">
        <f>IF(M95="自由形",10,IF(M95="平泳ぎ",20,IF(M95="背泳ぎ",30,IF(M95="バタフライ",40,IF(M95="個人メドレー",50,0)))))</f>
        <v>0</v>
      </c>
      <c r="BJ95" s="71">
        <f>IF(N95=25,1,IF(N95=50,2,IF(N95=100,3,0)))</f>
        <v>0</v>
      </c>
      <c r="BK95" s="78">
        <f>BF95+BG95+BH95</f>
        <v>0</v>
      </c>
      <c r="BL95" s="91">
        <f>BF95+BI95+BJ95</f>
        <v>0</v>
      </c>
    </row>
    <row r="96" spans="1:64" x14ac:dyDescent="0.25">
      <c r="A96" s="212"/>
      <c r="B96" s="255"/>
      <c r="C96" s="279"/>
      <c r="D96" s="216"/>
      <c r="E96" s="44"/>
      <c r="F96" s="286"/>
      <c r="G96" s="242"/>
      <c r="H96" s="39"/>
      <c r="I96" s="257"/>
      <c r="J96" s="259"/>
      <c r="K96" s="236"/>
      <c r="L96" s="239"/>
      <c r="M96" s="257"/>
      <c r="N96" s="259"/>
      <c r="O96" s="236"/>
      <c r="P96" s="239"/>
      <c r="Q96" s="45"/>
      <c r="R96" s="45"/>
      <c r="S96" s="135">
        <f>IF(ISBLANK(B95),0,COUNTIF(T95:AD97,"&gt;0"))</f>
        <v>0</v>
      </c>
      <c r="T96" s="94">
        <f>IF(ISBLANK(B95),0,IF(ISBLANK(E96),5,0))</f>
        <v>0</v>
      </c>
      <c r="U96" s="94">
        <f>IF(ISBLANK(B95),0,IF(ISBLANK(F96),6,0))</f>
        <v>0</v>
      </c>
      <c r="V96" s="94">
        <f>IF(ISBLANK(B95),0,IF(ISBLANK(H96),7,0))</f>
        <v>0</v>
      </c>
      <c r="W96" s="94">
        <v>0</v>
      </c>
      <c r="X96" s="94">
        <v>0</v>
      </c>
      <c r="Y96" s="94">
        <f>IF(ISBLANK(B92),IF(ISBLANK(B95),0,1),0)</f>
        <v>0</v>
      </c>
      <c r="Z96" s="94">
        <v>0</v>
      </c>
      <c r="AA96" s="94">
        <v>0</v>
      </c>
      <c r="AB96" s="94">
        <v>0</v>
      </c>
      <c r="AC96" s="94">
        <v>0</v>
      </c>
      <c r="AD96" s="94">
        <v>0</v>
      </c>
      <c r="AE96" s="94"/>
      <c r="AF96" s="128">
        <f>IF(ISBLANK(B95),0,COUNTIF(AG95:AK97,"&gt;0"))</f>
        <v>0</v>
      </c>
      <c r="AG96" s="98">
        <f>IF(I95="個人メドレー",IF(J95&lt;&gt;100,12,0),0)</f>
        <v>0</v>
      </c>
      <c r="AH96" s="98">
        <f>IF(J95=25,IF(K95&lt;1000,14,0),0)</f>
        <v>0</v>
      </c>
      <c r="AI96" s="98">
        <f>IF(J95=50,IF(K95&lt;2000,15,0),0)</f>
        <v>0</v>
      </c>
      <c r="AJ96" s="98">
        <f>IF(J95=100,IF(K95&lt;4500,16,0),0)</f>
        <v>0</v>
      </c>
      <c r="AK96" s="97">
        <v>0</v>
      </c>
      <c r="AL96" s="98"/>
      <c r="AM96" s="138">
        <f>IF(ISBLANK(B95),0,IF(AF96=0,COUNTIF(AN95:AR97,"&gt;0"),COUNTIF(AN97:AP97,"&gt;0")))</f>
        <v>0</v>
      </c>
      <c r="AN96" s="140">
        <f>IF(M95="個人メドレー",IF(N95&lt;&gt;100,23,0),0)</f>
        <v>0</v>
      </c>
      <c r="AO96" s="140">
        <f>IF(N95=25,IF(O95&lt;1000,25,0),0)</f>
        <v>0</v>
      </c>
      <c r="AP96" s="140">
        <f>IF(N95=50,IF(O95&lt;2000,26,0),0)</f>
        <v>0</v>
      </c>
      <c r="AQ96" s="140">
        <f>IF(N95=100,IF(O95&lt;4500,27,0),0)</f>
        <v>0</v>
      </c>
      <c r="AR96" s="140">
        <v>0</v>
      </c>
      <c r="AS96" s="98"/>
      <c r="AT96" s="96"/>
      <c r="AU96" s="71"/>
      <c r="AV96" s="71"/>
      <c r="AW96" s="71"/>
      <c r="AX96" s="71"/>
      <c r="AY96" s="71"/>
      <c r="AZ96" s="71">
        <v>97</v>
      </c>
      <c r="BA96" s="71">
        <v>95</v>
      </c>
      <c r="BB96" s="71"/>
      <c r="BC96" s="71"/>
      <c r="BD96" s="71"/>
      <c r="BE96" s="71"/>
      <c r="BF96" s="71"/>
      <c r="BG96" s="78"/>
      <c r="BH96" s="91"/>
      <c r="BI96" s="71"/>
      <c r="BJ96" s="71"/>
      <c r="BK96" s="78"/>
      <c r="BL96" s="91"/>
    </row>
    <row r="97" spans="1:64" ht="13.15" thickBot="1" x14ac:dyDescent="0.3">
      <c r="A97" s="213"/>
      <c r="B97" s="280"/>
      <c r="C97" s="281"/>
      <c r="D97" s="282"/>
      <c r="E97" s="283"/>
      <c r="F97" s="284"/>
      <c r="G97" s="285"/>
      <c r="H97" s="41"/>
      <c r="I97" s="258"/>
      <c r="J97" s="260"/>
      <c r="K97" s="237"/>
      <c r="L97" s="240"/>
      <c r="M97" s="258"/>
      <c r="N97" s="260"/>
      <c r="O97" s="237"/>
      <c r="P97" s="240"/>
      <c r="Q97" s="46"/>
      <c r="R97" s="47"/>
      <c r="S97" s="136">
        <f>COUNTIF(T95:AD97,"=0")</f>
        <v>31</v>
      </c>
      <c r="T97" s="98">
        <f>IF(COUNTIF(F96,"*区*")=0,IF(ISBLANK(B97),8,0),0)</f>
        <v>8</v>
      </c>
      <c r="U97" s="98">
        <f>IF(COUNTIF(F96,"*区*")=0,IF(ISBLANK(E97),9,0),0)</f>
        <v>9</v>
      </c>
      <c r="V97" s="98">
        <v>0</v>
      </c>
      <c r="W97" s="98">
        <v>0</v>
      </c>
      <c r="X97" s="98">
        <v>0</v>
      </c>
      <c r="Y97" s="98">
        <v>0</v>
      </c>
      <c r="Z97" s="94">
        <v>0</v>
      </c>
      <c r="AA97" s="94">
        <v>0</v>
      </c>
      <c r="AB97" s="94">
        <v>0</v>
      </c>
      <c r="AC97" s="94">
        <v>0</v>
      </c>
      <c r="AD97" s="94">
        <v>0</v>
      </c>
      <c r="AE97" s="94"/>
      <c r="AF97" s="128">
        <f>COUNTIF(AG95:AK97,"=0")</f>
        <v>11</v>
      </c>
      <c r="AG97" s="98">
        <v>0</v>
      </c>
      <c r="AH97" s="98">
        <v>0</v>
      </c>
      <c r="AI97" s="98">
        <v>0</v>
      </c>
      <c r="AJ97" s="98">
        <v>0</v>
      </c>
      <c r="AK97" s="97">
        <v>0</v>
      </c>
      <c r="AL97" s="98"/>
      <c r="AM97" s="138">
        <f>COUNTIF(AN95:AR97,"=0")</f>
        <v>14</v>
      </c>
      <c r="AN97" s="140">
        <f>IF(I95=M95,IF(J95=N95,29,0),0)</f>
        <v>29</v>
      </c>
      <c r="AO97" s="140">
        <f>IF(AF96=0,0,IF(ISBLANK(N95),0,20))</f>
        <v>0</v>
      </c>
      <c r="AP97" s="140">
        <f>IF(AF96=0,0,IF(ISBLANK(O95),0,20))</f>
        <v>0</v>
      </c>
      <c r="AQ97" s="140">
        <v>0</v>
      </c>
      <c r="AR97" s="140">
        <v>0</v>
      </c>
      <c r="AS97" s="98"/>
      <c r="AT97" s="96"/>
      <c r="AU97" s="71"/>
      <c r="AV97" s="71"/>
      <c r="AW97" s="71"/>
      <c r="AX97" s="71"/>
      <c r="AY97" s="71"/>
      <c r="AZ97" s="71">
        <v>98</v>
      </c>
      <c r="BA97" s="71">
        <v>95</v>
      </c>
      <c r="BB97" s="71"/>
      <c r="BC97" s="71"/>
      <c r="BD97" s="71"/>
      <c r="BE97" s="71"/>
      <c r="BF97" s="71"/>
      <c r="BG97" s="78"/>
      <c r="BH97" s="91"/>
      <c r="BI97" s="71"/>
      <c r="BJ97" s="71"/>
      <c r="BK97" s="78"/>
      <c r="BL97" s="91"/>
    </row>
    <row r="98" spans="1:64" ht="13.15" thickTop="1" x14ac:dyDescent="0.25">
      <c r="A98" s="274">
        <v>27</v>
      </c>
      <c r="B98" s="261"/>
      <c r="C98" s="261"/>
      <c r="D98" s="274" t="str">
        <f>PHONETIC(B98)&amp;" "&amp; PHONETIC(C98)</f>
        <v xml:space="preserve"> </v>
      </c>
      <c r="E98" s="48"/>
      <c r="F98" s="49"/>
      <c r="G98" s="38" t="str">
        <f>IF(ISBLANK(F98),"",IF(MONTH($AM$2)&gt;MONTH(F98),YEAR($AM$2)-YEAR(F98),IF(MONTH($AM$2)&lt;MONTH(F98),YEAR($AM$2)-YEAR(F98)-1,IF(DAY($AM$2)&gt;=DAY(F98),YEAR($AM$2)-YEAR(F98),YEAR($AM$2)-YEAR(F98)-1))))</f>
        <v/>
      </c>
      <c r="H98" s="50" t="str">
        <f>IF(S98&gt;0,VLOOKUP(S98,$BV$2:$BY$30,4),"-")</f>
        <v>-</v>
      </c>
      <c r="I98" s="269"/>
      <c r="J98" s="261"/>
      <c r="K98" s="264"/>
      <c r="L98" s="243" t="str">
        <f>IF(AF98&gt;0,VLOOKUP(AF98,$BV$2:$BY$30,4),"-")</f>
        <v>-</v>
      </c>
      <c r="M98" s="269"/>
      <c r="N98" s="261"/>
      <c r="O98" s="264"/>
      <c r="P98" s="243" t="str">
        <f>IF(AM98&gt;0,VLOOKUP(AM98,$BV$2:$BY$30,4),"-")</f>
        <v>-</v>
      </c>
      <c r="Q98" s="51"/>
      <c r="R98" s="51"/>
      <c r="S98" s="137">
        <f>IF(S99&gt;0,SMALL(T98:AD100,S100+1),0)</f>
        <v>0</v>
      </c>
      <c r="T98" s="95">
        <f>IF(ISBLANK(B98),0,IF(ISBLANK(E98),2,0))</f>
        <v>0</v>
      </c>
      <c r="U98" s="95">
        <f>IF(ISBLANK(B98),0,IF(ISBLANK(F98),3,0))</f>
        <v>0</v>
      </c>
      <c r="V98" s="95">
        <f>IF(ISBLANK(B98),0,IF(G98&lt;=17,4,0))</f>
        <v>0</v>
      </c>
      <c r="W98" s="95">
        <v>0</v>
      </c>
      <c r="X98" s="95">
        <v>0</v>
      </c>
      <c r="Y98" s="94">
        <v>0</v>
      </c>
      <c r="Z98" s="95">
        <v>0</v>
      </c>
      <c r="AA98" s="95">
        <v>0</v>
      </c>
      <c r="AB98" s="95">
        <v>0</v>
      </c>
      <c r="AC98" s="95">
        <v>0</v>
      </c>
      <c r="AD98" s="95">
        <v>0</v>
      </c>
      <c r="AE98" s="95"/>
      <c r="AF98" s="127">
        <f>IF(AF99&gt;0,SMALL(AG98:AK100,AF100+1),0)</f>
        <v>0</v>
      </c>
      <c r="AG98" s="102">
        <f>IF(ISBLANK(I98),10,0)</f>
        <v>10</v>
      </c>
      <c r="AH98" s="102">
        <f>IF(ISBLANK(J98),11,0)</f>
        <v>11</v>
      </c>
      <c r="AI98" s="102">
        <f>IF(ISBLANK(K98),13,0)</f>
        <v>13</v>
      </c>
      <c r="AJ98" s="102">
        <f>IF(ISNUMBER(K98),0,17)</f>
        <v>17</v>
      </c>
      <c r="AK98" s="101">
        <v>0</v>
      </c>
      <c r="AL98" s="102"/>
      <c r="AM98" s="141">
        <f>IF(AM99&gt;0,SMALL(AN98:AR100,AM100+1),0)</f>
        <v>0</v>
      </c>
      <c r="AN98" s="142">
        <f>IF(AF99=0,IF(ISBLANK(M98),IF(ISBLANK(N98),IF(ISBLANK(O98),0,21),21),0))</f>
        <v>0</v>
      </c>
      <c r="AO98" s="142">
        <f>IF(ISBLANK(M98),IF(ISBLANK(N98),0,22),IF(ISBLANK(N98),22,0))</f>
        <v>0</v>
      </c>
      <c r="AP98" s="142">
        <f>IF(ISBLANK(M98),0,IF(ISBLANK(O98),24,0))</f>
        <v>0</v>
      </c>
      <c r="AQ98" s="142">
        <f>IF(ISBLANK(O98),0,IF(ISNUMBER(O98),0,28))</f>
        <v>0</v>
      </c>
      <c r="AR98" s="142">
        <v>0</v>
      </c>
      <c r="AS98" s="102"/>
      <c r="AT98" s="100" t="e">
        <f>VLOOKUP(G98,$AZ$17:$BA$138,2)</f>
        <v>#N/A</v>
      </c>
      <c r="AU98" s="71"/>
      <c r="AV98" s="71"/>
      <c r="AW98" s="71"/>
      <c r="AX98" s="71"/>
      <c r="AY98" s="71"/>
      <c r="AZ98" s="71">
        <v>99</v>
      </c>
      <c r="BA98" s="71">
        <v>95</v>
      </c>
      <c r="BB98" s="71"/>
      <c r="BC98" s="71"/>
      <c r="BD98" s="71"/>
      <c r="BE98" s="71"/>
      <c r="BF98" s="71">
        <f>IF(E98="男",100,IF(E98="女",200,0))</f>
        <v>0</v>
      </c>
      <c r="BG98" s="78">
        <f>IF(I98="自由形",10,IF(I98="平泳ぎ",20,IF(I98="背泳ぎ",30,IF(I98="バタフライ",40,IF(I98="個人メドレー",50,0)))))</f>
        <v>0</v>
      </c>
      <c r="BH98" s="91">
        <f>IF(J98=25,1,IF(J98=50,2,IF(J98=100,3,0)))</f>
        <v>0</v>
      </c>
      <c r="BI98" s="71">
        <f>IF(M98="自由形",10,IF(M98="平泳ぎ",20,IF(M98="背泳ぎ",30,IF(M98="バタフライ",40,IF(M98="個人メドレー",50,0)))))</f>
        <v>0</v>
      </c>
      <c r="BJ98" s="71">
        <f>IF(N98=25,1,IF(N98=50,2,IF(N98=100,3,0)))</f>
        <v>0</v>
      </c>
      <c r="BK98" s="78">
        <f>BF98+BG98+BH98</f>
        <v>0</v>
      </c>
      <c r="BL98" s="91">
        <f>BF98+BI98+BJ98</f>
        <v>0</v>
      </c>
    </row>
    <row r="99" spans="1:64" x14ac:dyDescent="0.25">
      <c r="A99" s="275"/>
      <c r="B99" s="277"/>
      <c r="C99" s="279"/>
      <c r="D99" s="278"/>
      <c r="E99" s="54"/>
      <c r="F99" s="287"/>
      <c r="G99" s="247"/>
      <c r="H99" s="55"/>
      <c r="I99" s="270"/>
      <c r="J99" s="262"/>
      <c r="K99" s="265"/>
      <c r="L99" s="244"/>
      <c r="M99" s="270"/>
      <c r="N99" s="262"/>
      <c r="O99" s="265"/>
      <c r="P99" s="244"/>
      <c r="Q99" s="51"/>
      <c r="R99" s="51"/>
      <c r="S99" s="137">
        <f>IF(ISBLANK(B98),0,COUNTIF(T98:AD100,"&gt;0"))</f>
        <v>0</v>
      </c>
      <c r="T99" s="95">
        <f>IF(ISBLANK(B98),0,IF(ISBLANK(E99),5,0))</f>
        <v>0</v>
      </c>
      <c r="U99" s="95">
        <f>IF(ISBLANK(B98),0,IF(ISBLANK(F99),6,0))</f>
        <v>0</v>
      </c>
      <c r="V99" s="95">
        <f>IF(ISBLANK(B98),0,IF(ISBLANK(H99),7,0))</f>
        <v>0</v>
      </c>
      <c r="W99" s="95">
        <v>0</v>
      </c>
      <c r="X99" s="95">
        <v>0</v>
      </c>
      <c r="Y99" s="95">
        <f>IF(ISBLANK(B95),IF(ISBLANK(B98),0,1),0)</f>
        <v>0</v>
      </c>
      <c r="Z99" s="95">
        <v>0</v>
      </c>
      <c r="AA99" s="95">
        <v>0</v>
      </c>
      <c r="AB99" s="95">
        <v>0</v>
      </c>
      <c r="AC99" s="95">
        <v>0</v>
      </c>
      <c r="AD99" s="95">
        <v>0</v>
      </c>
      <c r="AE99" s="95"/>
      <c r="AF99" s="127">
        <f>IF(ISBLANK(B98),0,COUNTIF(AG98:AK100,"&gt;0"))</f>
        <v>0</v>
      </c>
      <c r="AG99" s="102">
        <f>IF(I98="個人メドレー",IF(J98&lt;&gt;100,12,0),0)</f>
        <v>0</v>
      </c>
      <c r="AH99" s="102">
        <f>IF(J98=25,IF(K98&lt;1000,14,0),0)</f>
        <v>0</v>
      </c>
      <c r="AI99" s="102">
        <f>IF(J98=50,IF(K98&lt;2000,15,0),0)</f>
        <v>0</v>
      </c>
      <c r="AJ99" s="102">
        <f>IF(J98=100,IF(K98&lt;4500,16,0),0)</f>
        <v>0</v>
      </c>
      <c r="AK99" s="101">
        <v>0</v>
      </c>
      <c r="AL99" s="102"/>
      <c r="AM99" s="141">
        <f>IF(ISBLANK(B98),0,IF(AF99=0,COUNTIF(AN98:AR100,"&gt;0"),COUNTIF(AN100:AP100,"&gt;0")))</f>
        <v>0</v>
      </c>
      <c r="AN99" s="142">
        <f>IF(M98="個人メドレー",IF(N98&lt;&gt;100,23,0),0)</f>
        <v>0</v>
      </c>
      <c r="AO99" s="142">
        <f>IF(N98=25,IF(O98&lt;1000,25,0),0)</f>
        <v>0</v>
      </c>
      <c r="AP99" s="142">
        <f>IF(N98=50,IF(O98&lt;2000,26,0),0)</f>
        <v>0</v>
      </c>
      <c r="AQ99" s="142">
        <f>IF(N98=100,IF(O98&lt;4500,27,0),0)</f>
        <v>0</v>
      </c>
      <c r="AR99" s="142">
        <v>0</v>
      </c>
      <c r="AS99" s="102"/>
      <c r="AT99" s="100"/>
      <c r="AU99" s="71"/>
      <c r="AV99" s="71"/>
      <c r="AW99" s="71"/>
      <c r="AX99" s="71"/>
      <c r="AY99" s="71"/>
      <c r="AZ99" s="71">
        <v>100</v>
      </c>
      <c r="BA99" s="71">
        <v>100</v>
      </c>
      <c r="BB99" s="71"/>
      <c r="BC99" s="71"/>
      <c r="BD99" s="71"/>
      <c r="BE99" s="71"/>
      <c r="BF99" s="71"/>
      <c r="BG99" s="78"/>
      <c r="BH99" s="91"/>
      <c r="BI99" s="71"/>
      <c r="BJ99" s="71"/>
      <c r="BK99" s="78"/>
      <c r="BL99" s="91"/>
    </row>
    <row r="100" spans="1:64" ht="13.15" thickBot="1" x14ac:dyDescent="0.3">
      <c r="A100" s="276"/>
      <c r="B100" s="248"/>
      <c r="C100" s="249"/>
      <c r="D100" s="250"/>
      <c r="E100" s="251"/>
      <c r="F100" s="252"/>
      <c r="G100" s="253"/>
      <c r="H100" s="56"/>
      <c r="I100" s="271"/>
      <c r="J100" s="263"/>
      <c r="K100" s="266"/>
      <c r="L100" s="245"/>
      <c r="M100" s="271"/>
      <c r="N100" s="263"/>
      <c r="O100" s="266"/>
      <c r="P100" s="245"/>
      <c r="Q100" s="52"/>
      <c r="R100" s="53"/>
      <c r="S100" s="132">
        <f>COUNTIF(T98:AD100,"=0")</f>
        <v>31</v>
      </c>
      <c r="T100" s="102">
        <f>IF(COUNTIF(F99,"*区*")=0,IF(ISBLANK(B100),8,0),0)</f>
        <v>8</v>
      </c>
      <c r="U100" s="102">
        <f>IF(COUNTIF(F99,"*区*")=0,IF(ISBLANK(E100),9,0),0)</f>
        <v>9</v>
      </c>
      <c r="V100" s="102">
        <v>0</v>
      </c>
      <c r="W100" s="102">
        <v>0</v>
      </c>
      <c r="X100" s="102">
        <v>0</v>
      </c>
      <c r="Y100" s="102">
        <v>0</v>
      </c>
      <c r="Z100" s="95">
        <v>0</v>
      </c>
      <c r="AA100" s="95">
        <v>0</v>
      </c>
      <c r="AB100" s="95">
        <v>0</v>
      </c>
      <c r="AC100" s="95">
        <v>0</v>
      </c>
      <c r="AD100" s="95">
        <v>0</v>
      </c>
      <c r="AE100" s="95"/>
      <c r="AF100" s="127">
        <f>COUNTIF(AG98:AK100,"=0")</f>
        <v>11</v>
      </c>
      <c r="AG100" s="102">
        <v>0</v>
      </c>
      <c r="AH100" s="102">
        <v>0</v>
      </c>
      <c r="AI100" s="102">
        <v>0</v>
      </c>
      <c r="AJ100" s="102">
        <v>0</v>
      </c>
      <c r="AK100" s="101">
        <v>0</v>
      </c>
      <c r="AL100" s="102"/>
      <c r="AM100" s="141">
        <f>COUNTIF(AN98:AR100,"=0")</f>
        <v>14</v>
      </c>
      <c r="AN100" s="142">
        <f>IF(I98=M98,IF(J98=N98,29,0),0)</f>
        <v>29</v>
      </c>
      <c r="AO100" s="142">
        <f>IF(AF99=0,0,IF(ISBLANK(N98),0,20))</f>
        <v>0</v>
      </c>
      <c r="AP100" s="142">
        <f>IF(AF99=0,0,IF(ISBLANK(O98),0,20))</f>
        <v>0</v>
      </c>
      <c r="AQ100" s="142">
        <v>0</v>
      </c>
      <c r="AR100" s="142">
        <v>0</v>
      </c>
      <c r="AS100" s="102"/>
      <c r="AT100" s="100"/>
      <c r="AU100" s="71"/>
      <c r="AV100" s="71"/>
      <c r="AW100" s="71"/>
      <c r="AX100" s="71"/>
      <c r="AY100" s="71"/>
      <c r="AZ100" s="71">
        <v>101</v>
      </c>
      <c r="BA100" s="71">
        <v>100</v>
      </c>
      <c r="BB100" s="71"/>
      <c r="BC100" s="71"/>
      <c r="BD100" s="71"/>
      <c r="BE100" s="71"/>
      <c r="BF100" s="71"/>
      <c r="BG100" s="78"/>
      <c r="BH100" s="91"/>
      <c r="BI100" s="71"/>
      <c r="BJ100" s="71"/>
      <c r="BK100" s="78"/>
      <c r="BL100" s="91"/>
    </row>
    <row r="101" spans="1:64" ht="13.15" thickTop="1" x14ac:dyDescent="0.25">
      <c r="A101" s="211">
        <v>28</v>
      </c>
      <c r="B101" s="254"/>
      <c r="C101" s="254"/>
      <c r="D101" s="211" t="str">
        <f>PHONETIC(B101)&amp;" "&amp; PHONETIC(C101)</f>
        <v xml:space="preserve"> </v>
      </c>
      <c r="E101" s="43"/>
      <c r="F101" s="40"/>
      <c r="G101" s="37" t="str">
        <f>IF(ISBLANK(F101),"",IF(MONTH($AM$2)&gt;MONTH(F101),YEAR($AM$2)-YEAR(F101),IF(MONTH($AM$2)&lt;MONTH(F101),YEAR($AM$2)-YEAR(F101)-1,IF(DAY($AM$2)&gt;=DAY(F101),YEAR($AM$2)-YEAR(F101),YEAR($AM$2)-YEAR(F101)-1))))</f>
        <v/>
      </c>
      <c r="H101" s="42" t="str">
        <f>IF(S101&gt;0,VLOOKUP(S101,$BV$2:$BY$30,4),"-")</f>
        <v>-</v>
      </c>
      <c r="I101" s="256"/>
      <c r="J101" s="254"/>
      <c r="K101" s="235"/>
      <c r="L101" s="238" t="str">
        <f>IF(AF101&gt;0,VLOOKUP(AF101,$BV$2:$BY$30,4),"-")</f>
        <v>-</v>
      </c>
      <c r="M101" s="256"/>
      <c r="N101" s="254"/>
      <c r="O101" s="235"/>
      <c r="P101" s="238" t="str">
        <f>IF(AM101&gt;0,VLOOKUP(AM101,$BV$2:$BY$30,4),"-")</f>
        <v>-</v>
      </c>
      <c r="Q101" s="45"/>
      <c r="R101" s="45"/>
      <c r="S101" s="135">
        <f>IF(S102&gt;0,SMALL(T101:AD103,S103+1),0)</f>
        <v>0</v>
      </c>
      <c r="T101" s="94">
        <f>IF(ISBLANK(B101),0,IF(ISBLANK(E101),2,0))</f>
        <v>0</v>
      </c>
      <c r="U101" s="94">
        <f>IF(ISBLANK(B101),0,IF(ISBLANK(F101),3,0))</f>
        <v>0</v>
      </c>
      <c r="V101" s="94">
        <f>IF(ISBLANK(B101),0,IF(G101&lt;=17,4,0))</f>
        <v>0</v>
      </c>
      <c r="W101" s="94">
        <v>0</v>
      </c>
      <c r="X101" s="94">
        <v>0</v>
      </c>
      <c r="Y101" s="94">
        <v>0</v>
      </c>
      <c r="Z101" s="94">
        <v>0</v>
      </c>
      <c r="AA101" s="94">
        <v>0</v>
      </c>
      <c r="AB101" s="94">
        <v>0</v>
      </c>
      <c r="AC101" s="94">
        <v>0</v>
      </c>
      <c r="AD101" s="94">
        <v>0</v>
      </c>
      <c r="AE101" s="94"/>
      <c r="AF101" s="128">
        <f>IF(AF102&gt;0,SMALL(AG101:AK103,AF103+1),0)</f>
        <v>0</v>
      </c>
      <c r="AG101" s="98">
        <f>IF(ISBLANK(I101),10,0)</f>
        <v>10</v>
      </c>
      <c r="AH101" s="98">
        <f>IF(ISBLANK(J101),11,0)</f>
        <v>11</v>
      </c>
      <c r="AI101" s="98">
        <f>IF(ISBLANK(K101),13,0)</f>
        <v>13</v>
      </c>
      <c r="AJ101" s="98">
        <f>IF(ISNUMBER(K101),0,17)</f>
        <v>17</v>
      </c>
      <c r="AK101" s="97">
        <v>0</v>
      </c>
      <c r="AL101" s="98"/>
      <c r="AM101" s="138">
        <f>IF(AM102&gt;0,SMALL(AN101:AR103,AM103+1),0)</f>
        <v>0</v>
      </c>
      <c r="AN101" s="140">
        <f>IF(AF102=0,IF(ISBLANK(M101),IF(ISBLANK(N101),IF(ISBLANK(O101),0,21),21),0))</f>
        <v>0</v>
      </c>
      <c r="AO101" s="140">
        <f>IF(ISBLANK(M101),IF(ISBLANK(N101),0,22),IF(ISBLANK(N101),22,0))</f>
        <v>0</v>
      </c>
      <c r="AP101" s="140">
        <f>IF(ISBLANK(M101),0,IF(ISBLANK(O101),24,0))</f>
        <v>0</v>
      </c>
      <c r="AQ101" s="140">
        <f>IF(ISBLANK(O101),0,IF(ISNUMBER(O101),0,28))</f>
        <v>0</v>
      </c>
      <c r="AR101" s="140">
        <v>0</v>
      </c>
      <c r="AS101" s="98"/>
      <c r="AT101" s="96" t="e">
        <f>VLOOKUP(G101,$AZ$17:$BA$138,2)</f>
        <v>#N/A</v>
      </c>
      <c r="AU101" s="71"/>
      <c r="AV101" s="71"/>
      <c r="AW101" s="71"/>
      <c r="AX101" s="71"/>
      <c r="AY101" s="71"/>
      <c r="AZ101" s="71">
        <v>102</v>
      </c>
      <c r="BA101" s="71">
        <v>100</v>
      </c>
      <c r="BB101" s="71"/>
      <c r="BC101" s="71"/>
      <c r="BD101" s="71"/>
      <c r="BE101" s="71"/>
      <c r="BF101" s="71">
        <f>IF(E101="男",100,IF(E101="女",200,0))</f>
        <v>0</v>
      </c>
      <c r="BG101" s="78">
        <f>IF(I101="自由形",10,IF(I101="平泳ぎ",20,IF(I101="背泳ぎ",30,IF(I101="バタフライ",40,IF(I101="個人メドレー",50,0)))))</f>
        <v>0</v>
      </c>
      <c r="BH101" s="91">
        <f>IF(J101=25,1,IF(J101=50,2,IF(J101=100,3,0)))</f>
        <v>0</v>
      </c>
      <c r="BI101" s="71">
        <f>IF(M101="自由形",10,IF(M101="平泳ぎ",20,IF(M101="背泳ぎ",30,IF(M101="バタフライ",40,IF(M101="個人メドレー",50,0)))))</f>
        <v>0</v>
      </c>
      <c r="BJ101" s="71">
        <f>IF(N101=25,1,IF(N101=50,2,IF(N101=100,3,0)))</f>
        <v>0</v>
      </c>
      <c r="BK101" s="78">
        <f>BF101+BG101+BH101</f>
        <v>0</v>
      </c>
      <c r="BL101" s="91">
        <f>BF101+BI101+BJ101</f>
        <v>0</v>
      </c>
    </row>
    <row r="102" spans="1:64" x14ac:dyDescent="0.25">
      <c r="A102" s="212"/>
      <c r="B102" s="255"/>
      <c r="C102" s="279"/>
      <c r="D102" s="216"/>
      <c r="E102" s="44"/>
      <c r="F102" s="286"/>
      <c r="G102" s="242"/>
      <c r="H102" s="39"/>
      <c r="I102" s="257"/>
      <c r="J102" s="259"/>
      <c r="K102" s="236"/>
      <c r="L102" s="239"/>
      <c r="M102" s="257"/>
      <c r="N102" s="259"/>
      <c r="O102" s="236"/>
      <c r="P102" s="239"/>
      <c r="Q102" s="45"/>
      <c r="R102" s="45"/>
      <c r="S102" s="135">
        <f>IF(ISBLANK(B101),0,COUNTIF(T101:AD103,"&gt;0"))</f>
        <v>0</v>
      </c>
      <c r="T102" s="94">
        <f>IF(ISBLANK(B101),0,IF(ISBLANK(E102),5,0))</f>
        <v>0</v>
      </c>
      <c r="U102" s="94">
        <f>IF(ISBLANK(B101),0,IF(ISBLANK(F102),6,0))</f>
        <v>0</v>
      </c>
      <c r="V102" s="94">
        <f>IF(ISBLANK(B101),0,IF(ISBLANK(H102),7,0))</f>
        <v>0</v>
      </c>
      <c r="W102" s="94">
        <v>0</v>
      </c>
      <c r="X102" s="94">
        <v>0</v>
      </c>
      <c r="Y102" s="94">
        <f>IF(ISBLANK(B98),IF(ISBLANK(B101),0,1),0)</f>
        <v>0</v>
      </c>
      <c r="Z102" s="94">
        <v>0</v>
      </c>
      <c r="AA102" s="94">
        <v>0</v>
      </c>
      <c r="AB102" s="94">
        <v>0</v>
      </c>
      <c r="AC102" s="94">
        <v>0</v>
      </c>
      <c r="AD102" s="94">
        <v>0</v>
      </c>
      <c r="AE102" s="94"/>
      <c r="AF102" s="128">
        <f>IF(ISBLANK(B101),0,COUNTIF(AG101:AK103,"&gt;0"))</f>
        <v>0</v>
      </c>
      <c r="AG102" s="98">
        <f>IF(I101="個人メドレー",IF(J101&lt;&gt;100,12,0),0)</f>
        <v>0</v>
      </c>
      <c r="AH102" s="98">
        <f>IF(J101=25,IF(K101&lt;1000,14,0),0)</f>
        <v>0</v>
      </c>
      <c r="AI102" s="98">
        <f>IF(J101=50,IF(K101&lt;2000,15,0),0)</f>
        <v>0</v>
      </c>
      <c r="AJ102" s="98">
        <f>IF(J101=100,IF(K101&lt;4500,16,0),0)</f>
        <v>0</v>
      </c>
      <c r="AK102" s="97">
        <v>0</v>
      </c>
      <c r="AL102" s="98"/>
      <c r="AM102" s="138">
        <f>IF(ISBLANK(B101),0,IF(AF102=0,COUNTIF(AN101:AR103,"&gt;0"),COUNTIF(AN103:AP103,"&gt;0")))</f>
        <v>0</v>
      </c>
      <c r="AN102" s="140">
        <f>IF(M101="個人メドレー",IF(N101&lt;&gt;100,23,0),0)</f>
        <v>0</v>
      </c>
      <c r="AO102" s="140">
        <f>IF(N101=25,IF(O101&lt;1000,25,0),0)</f>
        <v>0</v>
      </c>
      <c r="AP102" s="140">
        <f>IF(N101=50,IF(O101&lt;2000,26,0),0)</f>
        <v>0</v>
      </c>
      <c r="AQ102" s="140">
        <f>IF(N101=100,IF(O101&lt;4500,27,0),0)</f>
        <v>0</v>
      </c>
      <c r="AR102" s="140">
        <v>0</v>
      </c>
      <c r="AS102" s="98"/>
      <c r="AT102" s="96"/>
      <c r="AU102" s="71"/>
      <c r="AV102" s="71"/>
      <c r="AW102" s="71"/>
      <c r="AX102" s="71"/>
      <c r="AY102" s="71"/>
      <c r="AZ102" s="71">
        <v>103</v>
      </c>
      <c r="BA102" s="71">
        <v>100</v>
      </c>
      <c r="BB102" s="71"/>
      <c r="BC102" s="71"/>
      <c r="BD102" s="71"/>
      <c r="BE102" s="71"/>
      <c r="BF102" s="71"/>
      <c r="BG102" s="78"/>
      <c r="BH102" s="91"/>
      <c r="BI102" s="71"/>
      <c r="BJ102" s="71"/>
      <c r="BK102" s="78"/>
      <c r="BL102" s="91"/>
    </row>
    <row r="103" spans="1:64" ht="13.15" thickBot="1" x14ac:dyDescent="0.3">
      <c r="A103" s="213"/>
      <c r="B103" s="280"/>
      <c r="C103" s="281"/>
      <c r="D103" s="282"/>
      <c r="E103" s="283"/>
      <c r="F103" s="284"/>
      <c r="G103" s="285"/>
      <c r="H103" s="41"/>
      <c r="I103" s="258"/>
      <c r="J103" s="260"/>
      <c r="K103" s="237"/>
      <c r="L103" s="240"/>
      <c r="M103" s="258"/>
      <c r="N103" s="260"/>
      <c r="O103" s="237"/>
      <c r="P103" s="240"/>
      <c r="Q103" s="46"/>
      <c r="R103" s="47"/>
      <c r="S103" s="136">
        <f>COUNTIF(T101:AD103,"=0")</f>
        <v>31</v>
      </c>
      <c r="T103" s="98">
        <f>IF(COUNTIF(F102,"*区*")=0,IF(ISBLANK(B103),8,0),0)</f>
        <v>8</v>
      </c>
      <c r="U103" s="98">
        <f>IF(COUNTIF(F102,"*区*")=0,IF(ISBLANK(E103),9,0),0)</f>
        <v>9</v>
      </c>
      <c r="V103" s="98">
        <v>0</v>
      </c>
      <c r="W103" s="98">
        <v>0</v>
      </c>
      <c r="X103" s="98">
        <v>0</v>
      </c>
      <c r="Y103" s="98">
        <v>0</v>
      </c>
      <c r="Z103" s="94">
        <v>0</v>
      </c>
      <c r="AA103" s="94">
        <v>0</v>
      </c>
      <c r="AB103" s="94">
        <v>0</v>
      </c>
      <c r="AC103" s="94">
        <v>0</v>
      </c>
      <c r="AD103" s="94">
        <v>0</v>
      </c>
      <c r="AE103" s="94"/>
      <c r="AF103" s="128">
        <f>COUNTIF(AG101:AK103,"=0")</f>
        <v>11</v>
      </c>
      <c r="AG103" s="98">
        <v>0</v>
      </c>
      <c r="AH103" s="98">
        <v>0</v>
      </c>
      <c r="AI103" s="98">
        <v>0</v>
      </c>
      <c r="AJ103" s="98">
        <v>0</v>
      </c>
      <c r="AK103" s="97">
        <v>0</v>
      </c>
      <c r="AL103" s="98"/>
      <c r="AM103" s="138">
        <f>COUNTIF(AN101:AR103,"=0")</f>
        <v>14</v>
      </c>
      <c r="AN103" s="140">
        <f>IF(I101=M101,IF(J101=N101,29,0),0)</f>
        <v>29</v>
      </c>
      <c r="AO103" s="140">
        <f>IF(AF102=0,0,IF(ISBLANK(N101),0,20))</f>
        <v>0</v>
      </c>
      <c r="AP103" s="140">
        <f>IF(AF102=0,0,IF(ISBLANK(O101),0,20))</f>
        <v>0</v>
      </c>
      <c r="AQ103" s="140">
        <v>0</v>
      </c>
      <c r="AR103" s="140">
        <v>0</v>
      </c>
      <c r="AS103" s="98"/>
      <c r="AT103" s="96"/>
      <c r="AU103" s="71"/>
      <c r="AV103" s="71"/>
      <c r="AW103" s="71"/>
      <c r="AX103" s="71"/>
      <c r="AY103" s="71"/>
      <c r="AZ103" s="71">
        <v>104</v>
      </c>
      <c r="BA103" s="71">
        <v>100</v>
      </c>
      <c r="BB103" s="71"/>
      <c r="BC103" s="71"/>
      <c r="BD103" s="71"/>
      <c r="BE103" s="71"/>
      <c r="BF103" s="71"/>
      <c r="BG103" s="78"/>
      <c r="BH103" s="91"/>
      <c r="BI103" s="71"/>
      <c r="BJ103" s="71"/>
      <c r="BK103" s="78"/>
      <c r="BL103" s="91"/>
    </row>
    <row r="104" spans="1:64" ht="13.15" thickTop="1" x14ac:dyDescent="0.25">
      <c r="A104" s="274">
        <v>29</v>
      </c>
      <c r="B104" s="261"/>
      <c r="C104" s="261"/>
      <c r="D104" s="274" t="str">
        <f>PHONETIC(B104)&amp;" "&amp; PHONETIC(C104)</f>
        <v xml:space="preserve"> </v>
      </c>
      <c r="E104" s="48"/>
      <c r="F104" s="49"/>
      <c r="G104" s="38" t="str">
        <f>IF(ISBLANK(F104),"",IF(MONTH($AM$2)&gt;MONTH(F104),YEAR($AM$2)-YEAR(F104),IF(MONTH($AM$2)&lt;MONTH(F104),YEAR($AM$2)-YEAR(F104)-1,IF(DAY($AM$2)&gt;=DAY(F104),YEAR($AM$2)-YEAR(F104),YEAR($AM$2)-YEAR(F104)-1))))</f>
        <v/>
      </c>
      <c r="H104" s="50" t="str">
        <f>IF(S104&gt;0,VLOOKUP(S104,$BV$2:$BY$30,4),"-")</f>
        <v>-</v>
      </c>
      <c r="I104" s="269"/>
      <c r="J104" s="261"/>
      <c r="K104" s="264"/>
      <c r="L104" s="243" t="str">
        <f>IF(AF104&gt;0,VLOOKUP(AF104,$BV$2:$BY$30,4),"-")</f>
        <v>-</v>
      </c>
      <c r="M104" s="269"/>
      <c r="N104" s="261"/>
      <c r="O104" s="264"/>
      <c r="P104" s="243" t="str">
        <f>IF(AM104&gt;0,VLOOKUP(AM104,$BV$2:$BY$30,4),"-")</f>
        <v>-</v>
      </c>
      <c r="Q104" s="51"/>
      <c r="R104" s="51"/>
      <c r="S104" s="137">
        <f>IF(S105&gt;0,SMALL(T104:AD106,S106+1),0)</f>
        <v>0</v>
      </c>
      <c r="T104" s="95">
        <f>IF(ISBLANK(B104),0,IF(ISBLANK(E104),2,0))</f>
        <v>0</v>
      </c>
      <c r="U104" s="95">
        <f>IF(ISBLANK(B104),0,IF(ISBLANK(F104),3,0))</f>
        <v>0</v>
      </c>
      <c r="V104" s="95">
        <f>IF(ISBLANK(B104),0,IF(G104&lt;=17,4,0))</f>
        <v>0</v>
      </c>
      <c r="W104" s="95">
        <v>0</v>
      </c>
      <c r="X104" s="95">
        <v>0</v>
      </c>
      <c r="Y104" s="94">
        <v>0</v>
      </c>
      <c r="Z104" s="95">
        <v>0</v>
      </c>
      <c r="AA104" s="95">
        <v>0</v>
      </c>
      <c r="AB104" s="95">
        <v>0</v>
      </c>
      <c r="AC104" s="95">
        <v>0</v>
      </c>
      <c r="AD104" s="95">
        <v>0</v>
      </c>
      <c r="AE104" s="95"/>
      <c r="AF104" s="127">
        <f>IF(AF105&gt;0,SMALL(AG104:AK106,AF106+1),0)</f>
        <v>0</v>
      </c>
      <c r="AG104" s="102">
        <f>IF(ISBLANK(I104),10,0)</f>
        <v>10</v>
      </c>
      <c r="AH104" s="102">
        <f>IF(ISBLANK(J104),11,0)</f>
        <v>11</v>
      </c>
      <c r="AI104" s="102">
        <f>IF(ISBLANK(K104),13,0)</f>
        <v>13</v>
      </c>
      <c r="AJ104" s="102">
        <f>IF(ISNUMBER(K104),0,17)</f>
        <v>17</v>
      </c>
      <c r="AK104" s="101">
        <v>0</v>
      </c>
      <c r="AL104" s="102"/>
      <c r="AM104" s="141">
        <f>IF(AM105&gt;0,SMALL(AN104:AR106,AM106+1),0)</f>
        <v>0</v>
      </c>
      <c r="AN104" s="142">
        <f>IF(AF105=0,IF(ISBLANK(M104),IF(ISBLANK(N104),IF(ISBLANK(O104),0,21),21),0))</f>
        <v>0</v>
      </c>
      <c r="AO104" s="142">
        <f>IF(ISBLANK(M104),IF(ISBLANK(N104),0,22),IF(ISBLANK(N104),22,0))</f>
        <v>0</v>
      </c>
      <c r="AP104" s="142">
        <f>IF(ISBLANK(M104),0,IF(ISBLANK(O104),24,0))</f>
        <v>0</v>
      </c>
      <c r="AQ104" s="142">
        <f>IF(ISBLANK(O104),0,IF(ISNUMBER(O104),0,28))</f>
        <v>0</v>
      </c>
      <c r="AR104" s="142">
        <v>0</v>
      </c>
      <c r="AS104" s="102"/>
      <c r="AT104" s="100" t="e">
        <f>VLOOKUP(G104,$AZ$17:$BA$138,2)</f>
        <v>#N/A</v>
      </c>
      <c r="AU104" s="71"/>
      <c r="AV104" s="71"/>
      <c r="AW104" s="71"/>
      <c r="AX104" s="71"/>
      <c r="AY104" s="71"/>
      <c r="AZ104" s="71">
        <v>105</v>
      </c>
      <c r="BA104" s="71">
        <v>105</v>
      </c>
      <c r="BB104" s="71"/>
      <c r="BC104" s="71"/>
      <c r="BD104" s="71"/>
      <c r="BE104" s="71"/>
      <c r="BF104" s="71">
        <f>IF(E104="男",100,IF(E104="女",200,0))</f>
        <v>0</v>
      </c>
      <c r="BG104" s="78">
        <f>IF(I104="自由形",10,IF(I104="平泳ぎ",20,IF(I104="背泳ぎ",30,IF(I104="バタフライ",40,IF(I104="個人メドレー",50,0)))))</f>
        <v>0</v>
      </c>
      <c r="BH104" s="91">
        <f>IF(J104=25,1,IF(J104=50,2,IF(J104=100,3,0)))</f>
        <v>0</v>
      </c>
      <c r="BI104" s="71">
        <f>IF(M104="自由形",10,IF(M104="平泳ぎ",20,IF(M104="背泳ぎ",30,IF(M104="バタフライ",40,IF(M104="個人メドレー",50,0)))))</f>
        <v>0</v>
      </c>
      <c r="BJ104" s="71">
        <f>IF(N104=25,1,IF(N104=50,2,IF(N104=100,3,0)))</f>
        <v>0</v>
      </c>
      <c r="BK104" s="78">
        <f>BF104+BG104+BH104</f>
        <v>0</v>
      </c>
      <c r="BL104" s="91">
        <f>BF104+BI104+BJ104</f>
        <v>0</v>
      </c>
    </row>
    <row r="105" spans="1:64" x14ac:dyDescent="0.25">
      <c r="A105" s="275"/>
      <c r="B105" s="277"/>
      <c r="C105" s="279"/>
      <c r="D105" s="278"/>
      <c r="E105" s="54"/>
      <c r="F105" s="287"/>
      <c r="G105" s="247"/>
      <c r="H105" s="55"/>
      <c r="I105" s="270"/>
      <c r="J105" s="262"/>
      <c r="K105" s="265"/>
      <c r="L105" s="244"/>
      <c r="M105" s="270"/>
      <c r="N105" s="262"/>
      <c r="O105" s="265"/>
      <c r="P105" s="244"/>
      <c r="Q105" s="51"/>
      <c r="R105" s="51"/>
      <c r="S105" s="137">
        <f>IF(ISBLANK(B104),0,COUNTIF(T104:AD106,"&gt;0"))</f>
        <v>0</v>
      </c>
      <c r="T105" s="95">
        <f>IF(ISBLANK(B104),0,IF(ISBLANK(E105),5,0))</f>
        <v>0</v>
      </c>
      <c r="U105" s="95">
        <f>IF(ISBLANK(B104),0,IF(ISBLANK(F105),6,0))</f>
        <v>0</v>
      </c>
      <c r="V105" s="95">
        <f>IF(ISBLANK(B104),0,IF(ISBLANK(H105),7,0))</f>
        <v>0</v>
      </c>
      <c r="W105" s="95">
        <v>0</v>
      </c>
      <c r="X105" s="95">
        <v>0</v>
      </c>
      <c r="Y105" s="95">
        <f>IF(ISBLANK(B101),IF(ISBLANK(B104),0,1),0)</f>
        <v>0</v>
      </c>
      <c r="Z105" s="95">
        <v>0</v>
      </c>
      <c r="AA105" s="95">
        <v>0</v>
      </c>
      <c r="AB105" s="95">
        <v>0</v>
      </c>
      <c r="AC105" s="95">
        <v>0</v>
      </c>
      <c r="AD105" s="95">
        <v>0</v>
      </c>
      <c r="AE105" s="95"/>
      <c r="AF105" s="127">
        <f>IF(ISBLANK(B104),0,COUNTIF(AG104:AK106,"&gt;0"))</f>
        <v>0</v>
      </c>
      <c r="AG105" s="102">
        <f>IF(I104="個人メドレー",IF(J104&lt;&gt;100,12,0),0)</f>
        <v>0</v>
      </c>
      <c r="AH105" s="102">
        <f>IF(J104=25,IF(K104&lt;1000,14,0),0)</f>
        <v>0</v>
      </c>
      <c r="AI105" s="102">
        <f>IF(J104=50,IF(K104&lt;2000,15,0),0)</f>
        <v>0</v>
      </c>
      <c r="AJ105" s="102">
        <f>IF(J104=100,IF(K104&lt;4500,16,0),0)</f>
        <v>0</v>
      </c>
      <c r="AK105" s="101">
        <v>0</v>
      </c>
      <c r="AL105" s="102"/>
      <c r="AM105" s="141">
        <f>IF(ISBLANK(B104),0,IF(AF105=0,COUNTIF(AN104:AR106,"&gt;0"),COUNTIF(AN106:AP106,"&gt;0")))</f>
        <v>0</v>
      </c>
      <c r="AN105" s="142">
        <f>IF(M104="個人メドレー",IF(N104&lt;&gt;100,23,0),0)</f>
        <v>0</v>
      </c>
      <c r="AO105" s="142">
        <f>IF(N104=25,IF(O104&lt;1000,25,0),0)</f>
        <v>0</v>
      </c>
      <c r="AP105" s="142">
        <f>IF(N104=50,IF(O104&lt;2000,26,0),0)</f>
        <v>0</v>
      </c>
      <c r="AQ105" s="142">
        <f>IF(N104=100,IF(O104&lt;4500,27,0),0)</f>
        <v>0</v>
      </c>
      <c r="AR105" s="142">
        <v>0</v>
      </c>
      <c r="AS105" s="102"/>
      <c r="AT105" s="100"/>
      <c r="AU105" s="71"/>
      <c r="AV105" s="71"/>
      <c r="AW105" s="71"/>
      <c r="AX105" s="71"/>
      <c r="AY105" s="71"/>
      <c r="AZ105" s="71">
        <v>106</v>
      </c>
      <c r="BA105" s="71">
        <v>105</v>
      </c>
      <c r="BB105" s="71"/>
      <c r="BC105" s="71"/>
      <c r="BD105" s="71"/>
      <c r="BE105" s="71"/>
      <c r="BF105" s="71"/>
      <c r="BG105" s="78"/>
      <c r="BH105" s="91"/>
      <c r="BI105" s="71"/>
      <c r="BJ105" s="71"/>
      <c r="BK105" s="78"/>
      <c r="BL105" s="91"/>
    </row>
    <row r="106" spans="1:64" ht="13.15" thickBot="1" x14ac:dyDescent="0.3">
      <c r="A106" s="276"/>
      <c r="B106" s="248"/>
      <c r="C106" s="249"/>
      <c r="D106" s="250"/>
      <c r="E106" s="251"/>
      <c r="F106" s="252"/>
      <c r="G106" s="253"/>
      <c r="H106" s="56"/>
      <c r="I106" s="271"/>
      <c r="J106" s="263"/>
      <c r="K106" s="266"/>
      <c r="L106" s="245"/>
      <c r="M106" s="271"/>
      <c r="N106" s="263"/>
      <c r="O106" s="266"/>
      <c r="P106" s="245"/>
      <c r="Q106" s="52"/>
      <c r="R106" s="53"/>
      <c r="S106" s="132">
        <f>COUNTIF(T104:AD106,"=0")</f>
        <v>31</v>
      </c>
      <c r="T106" s="102">
        <f>IF(COUNTIF(F105,"*区*")=0,IF(ISBLANK(B106),8,0),0)</f>
        <v>8</v>
      </c>
      <c r="U106" s="102">
        <f>IF(COUNTIF(F105,"*区*")=0,IF(ISBLANK(E106),9,0),0)</f>
        <v>9</v>
      </c>
      <c r="V106" s="102">
        <v>0</v>
      </c>
      <c r="W106" s="102">
        <v>0</v>
      </c>
      <c r="X106" s="102">
        <v>0</v>
      </c>
      <c r="Y106" s="102">
        <v>0</v>
      </c>
      <c r="Z106" s="95">
        <v>0</v>
      </c>
      <c r="AA106" s="95">
        <v>0</v>
      </c>
      <c r="AB106" s="95">
        <v>0</v>
      </c>
      <c r="AC106" s="95">
        <v>0</v>
      </c>
      <c r="AD106" s="95">
        <v>0</v>
      </c>
      <c r="AE106" s="95"/>
      <c r="AF106" s="127">
        <f>COUNTIF(AG104:AK106,"=0")</f>
        <v>11</v>
      </c>
      <c r="AG106" s="102">
        <v>0</v>
      </c>
      <c r="AH106" s="102">
        <v>0</v>
      </c>
      <c r="AI106" s="102">
        <v>0</v>
      </c>
      <c r="AJ106" s="102">
        <v>0</v>
      </c>
      <c r="AK106" s="101">
        <v>0</v>
      </c>
      <c r="AL106" s="102"/>
      <c r="AM106" s="141">
        <f>COUNTIF(AN104:AR106,"=0")</f>
        <v>14</v>
      </c>
      <c r="AN106" s="142">
        <f>IF(I104=M104,IF(J104=N104,29,0),0)</f>
        <v>29</v>
      </c>
      <c r="AO106" s="142">
        <f>IF(AF105=0,0,IF(ISBLANK(N104),0,20))</f>
        <v>0</v>
      </c>
      <c r="AP106" s="142">
        <f>IF(AF105=0,0,IF(ISBLANK(O104),0,20))</f>
        <v>0</v>
      </c>
      <c r="AQ106" s="142">
        <v>0</v>
      </c>
      <c r="AR106" s="142">
        <v>0</v>
      </c>
      <c r="AS106" s="102"/>
      <c r="AT106" s="100"/>
      <c r="AU106" s="71"/>
      <c r="AV106" s="71"/>
      <c r="AW106" s="71"/>
      <c r="AX106" s="71"/>
      <c r="AY106" s="71"/>
      <c r="AZ106" s="71">
        <v>107</v>
      </c>
      <c r="BA106" s="71">
        <v>105</v>
      </c>
      <c r="BB106" s="71"/>
      <c r="BC106" s="71"/>
      <c r="BD106" s="71"/>
      <c r="BE106" s="71"/>
      <c r="BF106" s="71"/>
      <c r="BG106" s="78"/>
      <c r="BH106" s="91"/>
      <c r="BI106" s="71"/>
      <c r="BJ106" s="71"/>
      <c r="BK106" s="78"/>
      <c r="BL106" s="91"/>
    </row>
    <row r="107" spans="1:64" ht="13.15" thickTop="1" x14ac:dyDescent="0.25">
      <c r="A107" s="211">
        <v>30</v>
      </c>
      <c r="B107" s="254"/>
      <c r="C107" s="254"/>
      <c r="D107" s="211" t="str">
        <f>PHONETIC(B107)&amp;" "&amp; PHONETIC(C107)</f>
        <v xml:space="preserve"> </v>
      </c>
      <c r="E107" s="43"/>
      <c r="F107" s="40"/>
      <c r="G107" s="37" t="str">
        <f>IF(ISBLANK(F107),"",IF(MONTH($AM$2)&gt;MONTH(F107),YEAR($AM$2)-YEAR(F107),IF(MONTH($AM$2)&lt;MONTH(F107),YEAR($AM$2)-YEAR(F107)-1,IF(DAY($AM$2)&gt;=DAY(F107),YEAR($AM$2)-YEAR(F107),YEAR($AM$2)-YEAR(F107)-1))))</f>
        <v/>
      </c>
      <c r="H107" s="42" t="str">
        <f>IF(S107&gt;0,VLOOKUP(S107,$BV$2:$BY$30,4),"-")</f>
        <v>-</v>
      </c>
      <c r="I107" s="256"/>
      <c r="J107" s="254"/>
      <c r="K107" s="235"/>
      <c r="L107" s="238" t="str">
        <f>IF(AF107&gt;0,VLOOKUP(AF107,$BV$2:$BY$30,4),"-")</f>
        <v>-</v>
      </c>
      <c r="M107" s="256"/>
      <c r="N107" s="254"/>
      <c r="O107" s="235"/>
      <c r="P107" s="238" t="str">
        <f>IF(AM107&gt;0,VLOOKUP(AM107,$BV$2:$BY$30,4),"-")</f>
        <v>-</v>
      </c>
      <c r="Q107" s="45"/>
      <c r="R107" s="45"/>
      <c r="S107" s="135">
        <f>IF(S108&gt;0,SMALL(T107:AD109,S109+1),0)</f>
        <v>0</v>
      </c>
      <c r="T107" s="94">
        <f>IF(ISBLANK(B107),0,IF(ISBLANK(E107),2,0))</f>
        <v>0</v>
      </c>
      <c r="U107" s="94">
        <f>IF(ISBLANK(B107),0,IF(ISBLANK(F107),3,0))</f>
        <v>0</v>
      </c>
      <c r="V107" s="94">
        <f>IF(ISBLANK(B107),0,IF(G107&lt;=17,4,0))</f>
        <v>0</v>
      </c>
      <c r="W107" s="94">
        <v>0</v>
      </c>
      <c r="X107" s="94">
        <v>0</v>
      </c>
      <c r="Y107" s="94">
        <v>0</v>
      </c>
      <c r="Z107" s="94">
        <v>0</v>
      </c>
      <c r="AA107" s="94">
        <v>0</v>
      </c>
      <c r="AB107" s="94">
        <v>0</v>
      </c>
      <c r="AC107" s="94">
        <v>0</v>
      </c>
      <c r="AD107" s="94">
        <v>0</v>
      </c>
      <c r="AE107" s="94"/>
      <c r="AF107" s="128">
        <f>IF(AF108&gt;0,SMALL(AG107:AK109,AF109+1),0)</f>
        <v>0</v>
      </c>
      <c r="AG107" s="98">
        <f>IF(ISBLANK(I107),10,0)</f>
        <v>10</v>
      </c>
      <c r="AH107" s="98">
        <f>IF(ISBLANK(J107),11,0)</f>
        <v>11</v>
      </c>
      <c r="AI107" s="98">
        <f>IF(ISBLANK(K107),13,0)</f>
        <v>13</v>
      </c>
      <c r="AJ107" s="98">
        <f>IF(ISNUMBER(K107),0,17)</f>
        <v>17</v>
      </c>
      <c r="AK107" s="97">
        <v>0</v>
      </c>
      <c r="AL107" s="98"/>
      <c r="AM107" s="138">
        <f>IF(AM108&gt;0,SMALL(AN107:AR109,AM109+1),0)</f>
        <v>0</v>
      </c>
      <c r="AN107" s="140">
        <f>IF(AF108=0,IF(ISBLANK(M107),IF(ISBLANK(N107),IF(ISBLANK(O107),0,21),21),0))</f>
        <v>0</v>
      </c>
      <c r="AO107" s="140">
        <f>IF(ISBLANK(M107),IF(ISBLANK(N107),0,22),IF(ISBLANK(N107),22,0))</f>
        <v>0</v>
      </c>
      <c r="AP107" s="140">
        <f>IF(ISBLANK(M107),0,IF(ISBLANK(O107),24,0))</f>
        <v>0</v>
      </c>
      <c r="AQ107" s="140">
        <f>IF(ISBLANK(O107),0,IF(ISNUMBER(O107),0,28))</f>
        <v>0</v>
      </c>
      <c r="AR107" s="140">
        <v>0</v>
      </c>
      <c r="AS107" s="98"/>
      <c r="AT107" s="96" t="e">
        <f>VLOOKUP(G107,$AZ$17:$BA$138,2)</f>
        <v>#N/A</v>
      </c>
      <c r="AU107" s="71"/>
      <c r="AV107" s="71"/>
      <c r="AW107" s="71"/>
      <c r="AX107" s="71"/>
      <c r="AY107" s="71"/>
      <c r="AZ107" s="71">
        <v>108</v>
      </c>
      <c r="BA107" s="71">
        <v>105</v>
      </c>
      <c r="BB107" s="71"/>
      <c r="BC107" s="71"/>
      <c r="BD107" s="71"/>
      <c r="BE107" s="71"/>
      <c r="BF107" s="71">
        <f>IF(E107="男",100,IF(E107="女",200,0))</f>
        <v>0</v>
      </c>
      <c r="BG107" s="78">
        <f>IF(I107="自由形",10,IF(I107="平泳ぎ",20,IF(I107="背泳ぎ",30,IF(I107="バタフライ",40,IF(I107="個人メドレー",50,0)))))</f>
        <v>0</v>
      </c>
      <c r="BH107" s="91">
        <f>IF(J107=25,1,IF(J107=50,2,IF(J107=100,3,0)))</f>
        <v>0</v>
      </c>
      <c r="BI107" s="71">
        <f>IF(M107="自由形",10,IF(M107="平泳ぎ",20,IF(M107="背泳ぎ",30,IF(M107="バタフライ",40,IF(M107="個人メドレー",50,0)))))</f>
        <v>0</v>
      </c>
      <c r="BJ107" s="71">
        <f>IF(N107=25,1,IF(N107=50,2,IF(N107=100,3,0)))</f>
        <v>0</v>
      </c>
      <c r="BK107" s="78">
        <f>BF107+BG107+BH107</f>
        <v>0</v>
      </c>
      <c r="BL107" s="91">
        <f>BF107+BI107+BJ107</f>
        <v>0</v>
      </c>
    </row>
    <row r="108" spans="1:64" x14ac:dyDescent="0.25">
      <c r="A108" s="212"/>
      <c r="B108" s="255"/>
      <c r="C108" s="279"/>
      <c r="D108" s="216"/>
      <c r="E108" s="44"/>
      <c r="F108" s="286"/>
      <c r="G108" s="242"/>
      <c r="H108" s="39"/>
      <c r="I108" s="257"/>
      <c r="J108" s="259"/>
      <c r="K108" s="236"/>
      <c r="L108" s="239"/>
      <c r="M108" s="257"/>
      <c r="N108" s="259"/>
      <c r="O108" s="236"/>
      <c r="P108" s="239"/>
      <c r="Q108" s="45"/>
      <c r="R108" s="45"/>
      <c r="S108" s="135">
        <f>IF(ISBLANK(B107),0,COUNTIF(T107:AD109,"&gt;0"))</f>
        <v>0</v>
      </c>
      <c r="T108" s="94">
        <f>IF(ISBLANK(B107),0,IF(ISBLANK(E108),5,0))</f>
        <v>0</v>
      </c>
      <c r="U108" s="94">
        <f>IF(ISBLANK(B107),0,IF(ISBLANK(F108),6,0))</f>
        <v>0</v>
      </c>
      <c r="V108" s="94">
        <f>IF(ISBLANK(B107),0,IF(ISBLANK(H108),7,0))</f>
        <v>0</v>
      </c>
      <c r="W108" s="94">
        <v>0</v>
      </c>
      <c r="X108" s="94">
        <v>0</v>
      </c>
      <c r="Y108" s="94">
        <f>IF(ISBLANK(B104),IF(ISBLANK(B107),0,1),0)</f>
        <v>0</v>
      </c>
      <c r="Z108" s="94">
        <v>0</v>
      </c>
      <c r="AA108" s="94">
        <v>0</v>
      </c>
      <c r="AB108" s="94">
        <v>0</v>
      </c>
      <c r="AC108" s="94">
        <v>0</v>
      </c>
      <c r="AD108" s="94">
        <v>0</v>
      </c>
      <c r="AE108" s="94"/>
      <c r="AF108" s="128">
        <f>IF(ISBLANK(B107),0,COUNTIF(AG107:AK109,"&gt;0"))</f>
        <v>0</v>
      </c>
      <c r="AG108" s="98">
        <f>IF(I107="個人メドレー",IF(J107&lt;&gt;100,12,0),0)</f>
        <v>0</v>
      </c>
      <c r="AH108" s="98">
        <f>IF(J107=25,IF(K107&lt;1000,14,0),0)</f>
        <v>0</v>
      </c>
      <c r="AI108" s="98">
        <f>IF(J107=50,IF(K107&lt;2000,15,0),0)</f>
        <v>0</v>
      </c>
      <c r="AJ108" s="98">
        <f>IF(J107=100,IF(K107&lt;4500,16,0),0)</f>
        <v>0</v>
      </c>
      <c r="AK108" s="97">
        <v>0</v>
      </c>
      <c r="AL108" s="98"/>
      <c r="AM108" s="138">
        <f>IF(ISBLANK(B107),0,IF(AF108=0,COUNTIF(AN107:AR109,"&gt;0"),COUNTIF(AN109:AP109,"&gt;0")))</f>
        <v>0</v>
      </c>
      <c r="AN108" s="140">
        <f>IF(M107="個人メドレー",IF(N107&lt;&gt;100,23,0),0)</f>
        <v>0</v>
      </c>
      <c r="AO108" s="140">
        <f>IF(N107=25,IF(O107&lt;1000,25,0),0)</f>
        <v>0</v>
      </c>
      <c r="AP108" s="140">
        <f>IF(N107=50,IF(O107&lt;2000,26,0),0)</f>
        <v>0</v>
      </c>
      <c r="AQ108" s="140">
        <f>IF(N107=100,IF(O107&lt;4500,27,0),0)</f>
        <v>0</v>
      </c>
      <c r="AR108" s="140">
        <v>0</v>
      </c>
      <c r="AS108" s="98"/>
      <c r="AT108" s="96"/>
      <c r="AU108" s="71"/>
      <c r="AV108" s="71"/>
      <c r="AW108" s="71"/>
      <c r="AX108" s="71"/>
      <c r="AY108" s="71"/>
      <c r="AZ108" s="71">
        <v>109</v>
      </c>
      <c r="BA108" s="71">
        <v>105</v>
      </c>
      <c r="BB108" s="71"/>
      <c r="BC108" s="71"/>
      <c r="BD108" s="71"/>
      <c r="BE108" s="71"/>
      <c r="BF108" s="71"/>
      <c r="BG108" s="78"/>
      <c r="BH108" s="91"/>
      <c r="BI108" s="71"/>
      <c r="BJ108" s="71"/>
      <c r="BK108" s="78"/>
      <c r="BL108" s="91"/>
    </row>
    <row r="109" spans="1:64" ht="13.15" thickBot="1" x14ac:dyDescent="0.3">
      <c r="A109" s="213"/>
      <c r="B109" s="280"/>
      <c r="C109" s="281"/>
      <c r="D109" s="282"/>
      <c r="E109" s="283"/>
      <c r="F109" s="284"/>
      <c r="G109" s="285"/>
      <c r="H109" s="41"/>
      <c r="I109" s="258"/>
      <c r="J109" s="260"/>
      <c r="K109" s="237"/>
      <c r="L109" s="240"/>
      <c r="M109" s="258"/>
      <c r="N109" s="260"/>
      <c r="O109" s="237"/>
      <c r="P109" s="240"/>
      <c r="Q109" s="46"/>
      <c r="R109" s="47"/>
      <c r="S109" s="136">
        <f>COUNTIF(T107:AD109,"=0")</f>
        <v>31</v>
      </c>
      <c r="T109" s="98">
        <f>IF(COUNTIF(F108,"*区*")=0,IF(ISBLANK(B109),8,0),0)</f>
        <v>8</v>
      </c>
      <c r="U109" s="98">
        <f>IF(COUNTIF(F108,"*区*")=0,IF(ISBLANK(E109),9,0),0)</f>
        <v>9</v>
      </c>
      <c r="V109" s="98">
        <v>0</v>
      </c>
      <c r="W109" s="98">
        <v>0</v>
      </c>
      <c r="X109" s="98">
        <v>0</v>
      </c>
      <c r="Y109" s="98">
        <v>0</v>
      </c>
      <c r="Z109" s="94">
        <v>0</v>
      </c>
      <c r="AA109" s="94">
        <v>0</v>
      </c>
      <c r="AB109" s="94">
        <v>0</v>
      </c>
      <c r="AC109" s="94">
        <v>0</v>
      </c>
      <c r="AD109" s="94">
        <v>0</v>
      </c>
      <c r="AE109" s="94"/>
      <c r="AF109" s="128">
        <f>COUNTIF(AG107:AK109,"=0")</f>
        <v>11</v>
      </c>
      <c r="AG109" s="98">
        <v>0</v>
      </c>
      <c r="AH109" s="98">
        <v>0</v>
      </c>
      <c r="AI109" s="98">
        <v>0</v>
      </c>
      <c r="AJ109" s="98">
        <v>0</v>
      </c>
      <c r="AK109" s="97">
        <v>0</v>
      </c>
      <c r="AL109" s="98"/>
      <c r="AM109" s="138">
        <f>COUNTIF(AN107:AR109,"=0")</f>
        <v>14</v>
      </c>
      <c r="AN109" s="140">
        <f>IF(I107=M107,IF(J107=N107,29,0),0)</f>
        <v>29</v>
      </c>
      <c r="AO109" s="140">
        <f>IF(AF108=0,0,IF(ISBLANK(N107),0,20))</f>
        <v>0</v>
      </c>
      <c r="AP109" s="140">
        <f>IF(AF108=0,0,IF(ISBLANK(O107),0,20))</f>
        <v>0</v>
      </c>
      <c r="AQ109" s="140">
        <v>0</v>
      </c>
      <c r="AR109" s="140">
        <v>0</v>
      </c>
      <c r="AS109" s="98"/>
      <c r="AT109" s="96"/>
      <c r="AU109" s="71"/>
      <c r="AV109" s="71"/>
      <c r="AW109" s="71"/>
      <c r="AX109" s="71"/>
      <c r="AY109" s="71"/>
      <c r="AZ109" s="71">
        <v>110</v>
      </c>
      <c r="BA109" s="71">
        <v>110</v>
      </c>
      <c r="BB109" s="71"/>
      <c r="BC109" s="71"/>
      <c r="BD109" s="71"/>
      <c r="BE109" s="71"/>
      <c r="BF109" s="71"/>
      <c r="BG109" s="78"/>
      <c r="BH109" s="91"/>
      <c r="BI109" s="71"/>
      <c r="BJ109" s="71"/>
      <c r="BK109" s="78"/>
      <c r="BL109" s="91"/>
    </row>
    <row r="110" spans="1:64" ht="13.15" thickTop="1" x14ac:dyDescent="0.25">
      <c r="A110" s="274">
        <v>31</v>
      </c>
      <c r="B110" s="261"/>
      <c r="C110" s="261"/>
      <c r="D110" s="274" t="str">
        <f>PHONETIC(B110)&amp;" "&amp; PHONETIC(C110)</f>
        <v xml:space="preserve"> </v>
      </c>
      <c r="E110" s="48"/>
      <c r="F110" s="49"/>
      <c r="G110" s="38" t="str">
        <f>IF(ISBLANK(F110),"",IF(MONTH($AM$2)&gt;MONTH(F110),YEAR($AM$2)-YEAR(F110),IF(MONTH($AM$2)&lt;MONTH(F110),YEAR($AM$2)-YEAR(F110)-1,IF(DAY($AM$2)&gt;=DAY(F110),YEAR($AM$2)-YEAR(F110),YEAR($AM$2)-YEAR(F110)-1))))</f>
        <v/>
      </c>
      <c r="H110" s="50" t="str">
        <f>IF(S110&gt;0,VLOOKUP(S110,$BV$2:$BY$30,4),"-")</f>
        <v>-</v>
      </c>
      <c r="I110" s="269"/>
      <c r="J110" s="261"/>
      <c r="K110" s="264"/>
      <c r="L110" s="243" t="str">
        <f>IF(AF110&gt;0,VLOOKUP(AF110,$BV$2:$BY$30,4),"-")</f>
        <v>-</v>
      </c>
      <c r="M110" s="269"/>
      <c r="N110" s="261"/>
      <c r="O110" s="264"/>
      <c r="P110" s="243" t="str">
        <f>IF(AM110&gt;0,VLOOKUP(AM110,$BV$2:$BY$30,4),"-")</f>
        <v>-</v>
      </c>
      <c r="Q110" s="51"/>
      <c r="R110" s="51"/>
      <c r="S110" s="137">
        <f>IF(S111&gt;0,SMALL(T110:AD112,S112+1),0)</f>
        <v>0</v>
      </c>
      <c r="T110" s="95">
        <f>IF(ISBLANK(B110),0,IF(ISBLANK(E110),2,0))</f>
        <v>0</v>
      </c>
      <c r="U110" s="95">
        <f>IF(ISBLANK(B110),0,IF(ISBLANK(F110),3,0))</f>
        <v>0</v>
      </c>
      <c r="V110" s="95">
        <f>IF(ISBLANK(B110),0,IF(G110&lt;=17,4,0))</f>
        <v>0</v>
      </c>
      <c r="W110" s="95">
        <v>0</v>
      </c>
      <c r="X110" s="95">
        <v>0</v>
      </c>
      <c r="Y110" s="94">
        <v>0</v>
      </c>
      <c r="Z110" s="95">
        <v>0</v>
      </c>
      <c r="AA110" s="95">
        <v>0</v>
      </c>
      <c r="AB110" s="95">
        <v>0</v>
      </c>
      <c r="AC110" s="95">
        <v>0</v>
      </c>
      <c r="AD110" s="95">
        <v>0</v>
      </c>
      <c r="AE110" s="95"/>
      <c r="AF110" s="127">
        <f>IF(AF111&gt;0,SMALL(AG110:AK112,AF112+1),0)</f>
        <v>0</v>
      </c>
      <c r="AG110" s="102">
        <f>IF(ISBLANK(I110),10,0)</f>
        <v>10</v>
      </c>
      <c r="AH110" s="102">
        <f>IF(ISBLANK(J110),11,0)</f>
        <v>11</v>
      </c>
      <c r="AI110" s="102">
        <f>IF(ISBLANK(K110),13,0)</f>
        <v>13</v>
      </c>
      <c r="AJ110" s="102">
        <f>IF(ISNUMBER(K110),0,17)</f>
        <v>17</v>
      </c>
      <c r="AK110" s="101">
        <v>0</v>
      </c>
      <c r="AL110" s="102"/>
      <c r="AM110" s="141">
        <f>IF(AM111&gt;0,SMALL(AN110:AR112,AM112+1),0)</f>
        <v>0</v>
      </c>
      <c r="AN110" s="142">
        <f>IF(AF111=0,IF(ISBLANK(M110),IF(ISBLANK(N110),IF(ISBLANK(O110),0,21),21),0))</f>
        <v>0</v>
      </c>
      <c r="AO110" s="142">
        <f>IF(ISBLANK(M110),IF(ISBLANK(N110),0,22),IF(ISBLANK(N110),22,0))</f>
        <v>0</v>
      </c>
      <c r="AP110" s="142">
        <f>IF(ISBLANK(M110),0,IF(ISBLANK(O110),24,0))</f>
        <v>0</v>
      </c>
      <c r="AQ110" s="142">
        <f>IF(ISBLANK(O110),0,IF(ISNUMBER(O110),0,28))</f>
        <v>0</v>
      </c>
      <c r="AR110" s="142">
        <v>0</v>
      </c>
      <c r="AS110" s="102"/>
      <c r="AT110" s="100" t="e">
        <f>VLOOKUP(G110,$AZ$17:$BA$138,2)</f>
        <v>#N/A</v>
      </c>
      <c r="AU110" s="71"/>
      <c r="AV110" s="71"/>
      <c r="AW110" s="71"/>
      <c r="AX110" s="71"/>
      <c r="AY110" s="71"/>
      <c r="AZ110" s="71">
        <v>111</v>
      </c>
      <c r="BA110" s="71">
        <v>110</v>
      </c>
      <c r="BB110" s="71"/>
      <c r="BC110" s="71"/>
      <c r="BD110" s="71"/>
      <c r="BE110" s="71"/>
      <c r="BF110" s="71">
        <f>IF(E110="男",100,IF(E110="女",200,0))</f>
        <v>0</v>
      </c>
      <c r="BG110" s="78">
        <f>IF(I110="自由形",10,IF(I110="平泳ぎ",20,IF(I110="背泳ぎ",30,IF(I110="バタフライ",40,IF(I110="個人メドレー",50,0)))))</f>
        <v>0</v>
      </c>
      <c r="BH110" s="91">
        <f>IF(J110=25,1,IF(J110=50,2,IF(J110=100,3,0)))</f>
        <v>0</v>
      </c>
      <c r="BI110" s="71">
        <f>IF(M110="自由形",10,IF(M110="平泳ぎ",20,IF(M110="背泳ぎ",30,IF(M110="バタフライ",40,IF(M110="個人メドレー",50,0)))))</f>
        <v>0</v>
      </c>
      <c r="BJ110" s="71">
        <f>IF(N110=25,1,IF(N110=50,2,IF(N110=100,3,0)))</f>
        <v>0</v>
      </c>
      <c r="BK110" s="78">
        <f>BF110+BG110+BH110</f>
        <v>0</v>
      </c>
      <c r="BL110" s="91">
        <f>BF110+BI110+BJ110</f>
        <v>0</v>
      </c>
    </row>
    <row r="111" spans="1:64" x14ac:dyDescent="0.25">
      <c r="A111" s="275"/>
      <c r="B111" s="277"/>
      <c r="C111" s="279"/>
      <c r="D111" s="278"/>
      <c r="E111" s="54"/>
      <c r="F111" s="287"/>
      <c r="G111" s="247"/>
      <c r="H111" s="55"/>
      <c r="I111" s="270"/>
      <c r="J111" s="262"/>
      <c r="K111" s="265"/>
      <c r="L111" s="244"/>
      <c r="M111" s="270"/>
      <c r="N111" s="262"/>
      <c r="O111" s="265"/>
      <c r="P111" s="244"/>
      <c r="Q111" s="51"/>
      <c r="R111" s="51"/>
      <c r="S111" s="137">
        <f>IF(ISBLANK(B110),0,COUNTIF(T110:AD112,"&gt;0"))</f>
        <v>0</v>
      </c>
      <c r="T111" s="95">
        <f>IF(ISBLANK(B110),0,IF(ISBLANK(E111),5,0))</f>
        <v>0</v>
      </c>
      <c r="U111" s="95">
        <f>IF(ISBLANK(B110),0,IF(ISBLANK(F111),6,0))</f>
        <v>0</v>
      </c>
      <c r="V111" s="95">
        <f>IF(ISBLANK(B110),0,IF(ISBLANK(H111),7,0))</f>
        <v>0</v>
      </c>
      <c r="W111" s="95">
        <v>0</v>
      </c>
      <c r="X111" s="95">
        <v>0</v>
      </c>
      <c r="Y111" s="95">
        <f>IF(ISBLANK(B107),IF(ISBLANK(B110),0,1),0)</f>
        <v>0</v>
      </c>
      <c r="Z111" s="95">
        <v>0</v>
      </c>
      <c r="AA111" s="95">
        <v>0</v>
      </c>
      <c r="AB111" s="95">
        <v>0</v>
      </c>
      <c r="AC111" s="95">
        <v>0</v>
      </c>
      <c r="AD111" s="95">
        <v>0</v>
      </c>
      <c r="AE111" s="95"/>
      <c r="AF111" s="127">
        <f>IF(ISBLANK(B110),0,COUNTIF(AG110:AK112,"&gt;0"))</f>
        <v>0</v>
      </c>
      <c r="AG111" s="102">
        <f>IF(I110="個人メドレー",IF(J110&lt;&gt;100,12,0),0)</f>
        <v>0</v>
      </c>
      <c r="AH111" s="102">
        <f>IF(J110=25,IF(K110&lt;1000,14,0),0)</f>
        <v>0</v>
      </c>
      <c r="AI111" s="102">
        <f>IF(J110=50,IF(K110&lt;2000,15,0),0)</f>
        <v>0</v>
      </c>
      <c r="AJ111" s="102">
        <f>IF(J110=100,IF(K110&lt;4500,16,0),0)</f>
        <v>0</v>
      </c>
      <c r="AK111" s="101">
        <v>0</v>
      </c>
      <c r="AL111" s="102"/>
      <c r="AM111" s="141">
        <f>IF(ISBLANK(B110),0,IF(AF111=0,COUNTIF(AN110:AR112,"&gt;0"),COUNTIF(AN112:AP112,"&gt;0")))</f>
        <v>0</v>
      </c>
      <c r="AN111" s="142">
        <f>IF(M110="個人メドレー",IF(N110&lt;&gt;100,23,0),0)</f>
        <v>0</v>
      </c>
      <c r="AO111" s="142">
        <f>IF(N110=25,IF(O110&lt;1000,25,0),0)</f>
        <v>0</v>
      </c>
      <c r="AP111" s="142">
        <f>IF(N110=50,IF(O110&lt;2000,26,0),0)</f>
        <v>0</v>
      </c>
      <c r="AQ111" s="142">
        <f>IF(N110=100,IF(O110&lt;4500,27,0),0)</f>
        <v>0</v>
      </c>
      <c r="AR111" s="142">
        <v>0</v>
      </c>
      <c r="AS111" s="102"/>
      <c r="AT111" s="100"/>
      <c r="AU111" s="71"/>
      <c r="AV111" s="71"/>
      <c r="AW111" s="71"/>
      <c r="AX111" s="71"/>
      <c r="AY111" s="71"/>
      <c r="AZ111" s="71">
        <v>112</v>
      </c>
      <c r="BA111" s="71">
        <v>110</v>
      </c>
      <c r="BB111" s="71"/>
      <c r="BC111" s="71"/>
      <c r="BD111" s="71"/>
      <c r="BE111" s="71"/>
      <c r="BF111" s="71"/>
      <c r="BG111" s="78"/>
      <c r="BH111" s="91"/>
      <c r="BI111" s="71"/>
      <c r="BJ111" s="71"/>
      <c r="BK111" s="78"/>
      <c r="BL111" s="91"/>
    </row>
    <row r="112" spans="1:64" ht="13.15" thickBot="1" x14ac:dyDescent="0.3">
      <c r="A112" s="276"/>
      <c r="B112" s="248"/>
      <c r="C112" s="249"/>
      <c r="D112" s="250"/>
      <c r="E112" s="251"/>
      <c r="F112" s="252"/>
      <c r="G112" s="253"/>
      <c r="H112" s="56"/>
      <c r="I112" s="271"/>
      <c r="J112" s="263"/>
      <c r="K112" s="266"/>
      <c r="L112" s="245"/>
      <c r="M112" s="271"/>
      <c r="N112" s="263"/>
      <c r="O112" s="266"/>
      <c r="P112" s="245"/>
      <c r="Q112" s="52"/>
      <c r="R112" s="53"/>
      <c r="S112" s="132">
        <f>COUNTIF(T110:AD112,"=0")</f>
        <v>31</v>
      </c>
      <c r="T112" s="102">
        <f>IF(COUNTIF(F111,"*区*")=0,IF(ISBLANK(B112),8,0),0)</f>
        <v>8</v>
      </c>
      <c r="U112" s="102">
        <f>IF(COUNTIF(F111,"*区*")=0,IF(ISBLANK(E112),9,0),0)</f>
        <v>9</v>
      </c>
      <c r="V112" s="102">
        <v>0</v>
      </c>
      <c r="W112" s="102">
        <v>0</v>
      </c>
      <c r="X112" s="102">
        <v>0</v>
      </c>
      <c r="Y112" s="102">
        <v>0</v>
      </c>
      <c r="Z112" s="95">
        <v>0</v>
      </c>
      <c r="AA112" s="95">
        <v>0</v>
      </c>
      <c r="AB112" s="95">
        <v>0</v>
      </c>
      <c r="AC112" s="95">
        <v>0</v>
      </c>
      <c r="AD112" s="95">
        <v>0</v>
      </c>
      <c r="AE112" s="95"/>
      <c r="AF112" s="127">
        <f>COUNTIF(AG110:AK112,"=0")</f>
        <v>11</v>
      </c>
      <c r="AG112" s="102">
        <v>0</v>
      </c>
      <c r="AH112" s="102">
        <v>0</v>
      </c>
      <c r="AI112" s="102">
        <v>0</v>
      </c>
      <c r="AJ112" s="102">
        <v>0</v>
      </c>
      <c r="AK112" s="101">
        <v>0</v>
      </c>
      <c r="AL112" s="102"/>
      <c r="AM112" s="141">
        <f>COUNTIF(AN110:AR112,"=0")</f>
        <v>14</v>
      </c>
      <c r="AN112" s="142">
        <f>IF(I110=M110,IF(J110=N110,29,0),0)</f>
        <v>29</v>
      </c>
      <c r="AO112" s="142">
        <f>IF(AF111=0,0,IF(ISBLANK(N110),0,20))</f>
        <v>0</v>
      </c>
      <c r="AP112" s="142">
        <f>IF(AF111=0,0,IF(ISBLANK(O110),0,20))</f>
        <v>0</v>
      </c>
      <c r="AQ112" s="142">
        <v>0</v>
      </c>
      <c r="AR112" s="142">
        <v>0</v>
      </c>
      <c r="AS112" s="102"/>
      <c r="AT112" s="100"/>
      <c r="AU112" s="71"/>
      <c r="AV112" s="71"/>
      <c r="AW112" s="71"/>
      <c r="AX112" s="71"/>
      <c r="AY112" s="71"/>
      <c r="AZ112" s="71">
        <v>113</v>
      </c>
      <c r="BA112" s="71">
        <v>110</v>
      </c>
      <c r="BB112" s="71"/>
      <c r="BC112" s="71"/>
      <c r="BD112" s="71"/>
      <c r="BE112" s="71"/>
      <c r="BF112" s="71"/>
      <c r="BG112" s="78"/>
      <c r="BH112" s="91"/>
      <c r="BI112" s="71"/>
      <c r="BJ112" s="71"/>
      <c r="BK112" s="78"/>
      <c r="BL112" s="91"/>
    </row>
    <row r="113" spans="1:64" ht="13.15" thickTop="1" x14ac:dyDescent="0.25">
      <c r="A113" s="211">
        <v>32</v>
      </c>
      <c r="B113" s="254"/>
      <c r="C113" s="254"/>
      <c r="D113" s="211" t="str">
        <f>PHONETIC(B113)&amp;" "&amp; PHONETIC(C113)</f>
        <v xml:space="preserve"> </v>
      </c>
      <c r="E113" s="43"/>
      <c r="F113" s="40"/>
      <c r="G113" s="37" t="str">
        <f>IF(ISBLANK(F113),"",IF(MONTH($AM$2)&gt;MONTH(F113),YEAR($AM$2)-YEAR(F113),IF(MONTH($AM$2)&lt;MONTH(F113),YEAR($AM$2)-YEAR(F113)-1,IF(DAY($AM$2)&gt;=DAY(F113),YEAR($AM$2)-YEAR(F113),YEAR($AM$2)-YEAR(F113)-1))))</f>
        <v/>
      </c>
      <c r="H113" s="42" t="str">
        <f>IF(S113&gt;0,VLOOKUP(S113,$BV$2:$BY$30,4),"-")</f>
        <v>-</v>
      </c>
      <c r="I113" s="256"/>
      <c r="J113" s="254"/>
      <c r="K113" s="235"/>
      <c r="L113" s="238" t="str">
        <f>IF(AF113&gt;0,VLOOKUP(AF113,$BV$2:$BY$30,4),"-")</f>
        <v>-</v>
      </c>
      <c r="M113" s="256"/>
      <c r="N113" s="254"/>
      <c r="O113" s="235"/>
      <c r="P113" s="238" t="str">
        <f>IF(AM113&gt;0,VLOOKUP(AM113,$BV$2:$BY$30,4),"-")</f>
        <v>-</v>
      </c>
      <c r="Q113" s="45"/>
      <c r="R113" s="45"/>
      <c r="S113" s="135">
        <f>IF(S114&gt;0,SMALL(T113:AD115,S115+1),0)</f>
        <v>0</v>
      </c>
      <c r="T113" s="94">
        <f>IF(ISBLANK(B113),0,IF(ISBLANK(E113),2,0))</f>
        <v>0</v>
      </c>
      <c r="U113" s="94">
        <f>IF(ISBLANK(B113),0,IF(ISBLANK(F113),3,0))</f>
        <v>0</v>
      </c>
      <c r="V113" s="94">
        <f>IF(ISBLANK(B113),0,IF(G113&lt;=17,4,0))</f>
        <v>0</v>
      </c>
      <c r="W113" s="94">
        <v>0</v>
      </c>
      <c r="X113" s="94">
        <v>0</v>
      </c>
      <c r="Y113" s="94">
        <v>0</v>
      </c>
      <c r="Z113" s="94">
        <v>0</v>
      </c>
      <c r="AA113" s="94">
        <v>0</v>
      </c>
      <c r="AB113" s="94">
        <v>0</v>
      </c>
      <c r="AC113" s="94">
        <v>0</v>
      </c>
      <c r="AD113" s="94">
        <v>0</v>
      </c>
      <c r="AE113" s="94"/>
      <c r="AF113" s="128">
        <f>IF(AF114&gt;0,SMALL(AG113:AK115,AF115+1),0)</f>
        <v>0</v>
      </c>
      <c r="AG113" s="98">
        <f>IF(ISBLANK(I113),10,0)</f>
        <v>10</v>
      </c>
      <c r="AH113" s="98">
        <f>IF(ISBLANK(J113),11,0)</f>
        <v>11</v>
      </c>
      <c r="AI113" s="98">
        <f>IF(ISBLANK(K113),13,0)</f>
        <v>13</v>
      </c>
      <c r="AJ113" s="98">
        <f>IF(ISNUMBER(K113),0,17)</f>
        <v>17</v>
      </c>
      <c r="AK113" s="97">
        <v>0</v>
      </c>
      <c r="AL113" s="98"/>
      <c r="AM113" s="138">
        <f>IF(AM114&gt;0,SMALL(AN113:AR115,AM115+1),0)</f>
        <v>0</v>
      </c>
      <c r="AN113" s="140">
        <f>IF(AF114=0,IF(ISBLANK(M113),IF(ISBLANK(N113),IF(ISBLANK(O113),0,21),21),0))</f>
        <v>0</v>
      </c>
      <c r="AO113" s="140">
        <f>IF(ISBLANK(M113),IF(ISBLANK(N113),0,22),IF(ISBLANK(N113),22,0))</f>
        <v>0</v>
      </c>
      <c r="AP113" s="140">
        <f>IF(ISBLANK(M113),0,IF(ISBLANK(O113),24,0))</f>
        <v>0</v>
      </c>
      <c r="AQ113" s="140">
        <f>IF(ISBLANK(O113),0,IF(ISNUMBER(O113),0,28))</f>
        <v>0</v>
      </c>
      <c r="AR113" s="140">
        <v>0</v>
      </c>
      <c r="AS113" s="98"/>
      <c r="AT113" s="96" t="e">
        <f>VLOOKUP(G113,$AZ$17:$BA$138,2)</f>
        <v>#N/A</v>
      </c>
      <c r="AU113" s="71"/>
      <c r="AV113" s="71"/>
      <c r="AW113" s="71"/>
      <c r="AX113" s="71"/>
      <c r="AY113" s="71"/>
      <c r="AZ113" s="71">
        <v>114</v>
      </c>
      <c r="BA113" s="71">
        <v>110</v>
      </c>
      <c r="BB113" s="71"/>
      <c r="BC113" s="71"/>
      <c r="BD113" s="71"/>
      <c r="BE113" s="71"/>
      <c r="BF113" s="71">
        <f>IF(E113="男",100,IF(E113="女",200,0))</f>
        <v>0</v>
      </c>
      <c r="BG113" s="78">
        <f>IF(I113="自由形",10,IF(I113="平泳ぎ",20,IF(I113="背泳ぎ",30,IF(I113="バタフライ",40,IF(I113="個人メドレー",50,0)))))</f>
        <v>0</v>
      </c>
      <c r="BH113" s="91">
        <f>IF(J113=25,1,IF(J113=50,2,IF(J113=100,3,0)))</f>
        <v>0</v>
      </c>
      <c r="BI113" s="71">
        <f>IF(M113="自由形",10,IF(M113="平泳ぎ",20,IF(M113="背泳ぎ",30,IF(M113="バタフライ",40,IF(M113="個人メドレー",50,0)))))</f>
        <v>0</v>
      </c>
      <c r="BJ113" s="71">
        <f>IF(N113=25,1,IF(N113=50,2,IF(N113=100,3,0)))</f>
        <v>0</v>
      </c>
      <c r="BK113" s="78">
        <f>BF113+BG113+BH113</f>
        <v>0</v>
      </c>
      <c r="BL113" s="91">
        <f>BF113+BI113+BJ113</f>
        <v>0</v>
      </c>
    </row>
    <row r="114" spans="1:64" x14ac:dyDescent="0.25">
      <c r="A114" s="212"/>
      <c r="B114" s="255"/>
      <c r="C114" s="279"/>
      <c r="D114" s="216"/>
      <c r="E114" s="44"/>
      <c r="F114" s="286"/>
      <c r="G114" s="242"/>
      <c r="H114" s="39"/>
      <c r="I114" s="257"/>
      <c r="J114" s="259"/>
      <c r="K114" s="236"/>
      <c r="L114" s="239"/>
      <c r="M114" s="257"/>
      <c r="N114" s="259"/>
      <c r="O114" s="236"/>
      <c r="P114" s="239"/>
      <c r="Q114" s="45"/>
      <c r="R114" s="45"/>
      <c r="S114" s="135">
        <f>IF(ISBLANK(B113),0,COUNTIF(T113:AD115,"&gt;0"))</f>
        <v>0</v>
      </c>
      <c r="T114" s="94">
        <f>IF(ISBLANK(B113),0,IF(ISBLANK(E114),5,0))</f>
        <v>0</v>
      </c>
      <c r="U114" s="94">
        <f>IF(ISBLANK(B113),0,IF(ISBLANK(F114),6,0))</f>
        <v>0</v>
      </c>
      <c r="V114" s="94">
        <f>IF(ISBLANK(B113),0,IF(ISBLANK(H114),7,0))</f>
        <v>0</v>
      </c>
      <c r="W114" s="94">
        <v>0</v>
      </c>
      <c r="X114" s="94">
        <v>0</v>
      </c>
      <c r="Y114" s="94">
        <f>IF(ISBLANK(B110),IF(ISBLANK(B113),0,1),0)</f>
        <v>0</v>
      </c>
      <c r="Z114" s="94">
        <v>0</v>
      </c>
      <c r="AA114" s="94">
        <v>0</v>
      </c>
      <c r="AB114" s="94">
        <v>0</v>
      </c>
      <c r="AC114" s="94">
        <v>0</v>
      </c>
      <c r="AD114" s="94">
        <v>0</v>
      </c>
      <c r="AE114" s="94"/>
      <c r="AF114" s="128">
        <f>IF(ISBLANK(B113),0,COUNTIF(AG113:AK115,"&gt;0"))</f>
        <v>0</v>
      </c>
      <c r="AG114" s="98">
        <f>IF(I113="個人メドレー",IF(J113&lt;&gt;100,12,0),0)</f>
        <v>0</v>
      </c>
      <c r="AH114" s="98">
        <f>IF(J113=25,IF(K113&lt;1000,14,0),0)</f>
        <v>0</v>
      </c>
      <c r="AI114" s="98">
        <f>IF(J113=50,IF(K113&lt;2000,15,0),0)</f>
        <v>0</v>
      </c>
      <c r="AJ114" s="98">
        <f>IF(J113=100,IF(K113&lt;4500,16,0),0)</f>
        <v>0</v>
      </c>
      <c r="AK114" s="97">
        <v>0</v>
      </c>
      <c r="AL114" s="98"/>
      <c r="AM114" s="138">
        <f>IF(ISBLANK(B113),0,IF(AF114=0,COUNTIF(AN113:AR115,"&gt;0"),COUNTIF(AN115:AP115,"&gt;0")))</f>
        <v>0</v>
      </c>
      <c r="AN114" s="140">
        <f>IF(M113="個人メドレー",IF(N113&lt;&gt;100,23,0),0)</f>
        <v>0</v>
      </c>
      <c r="AO114" s="140">
        <f>IF(N113=25,IF(O113&lt;1000,25,0),0)</f>
        <v>0</v>
      </c>
      <c r="AP114" s="140">
        <f>IF(N113=50,IF(O113&lt;2000,26,0),0)</f>
        <v>0</v>
      </c>
      <c r="AQ114" s="140">
        <f>IF(N113=100,IF(O113&lt;4500,27,0),0)</f>
        <v>0</v>
      </c>
      <c r="AR114" s="140">
        <v>0</v>
      </c>
      <c r="AS114" s="98"/>
      <c r="AT114" s="96"/>
      <c r="AU114" s="71"/>
      <c r="AV114" s="71"/>
      <c r="AW114" s="71"/>
      <c r="AX114" s="71"/>
      <c r="AY114" s="71"/>
      <c r="AZ114" s="71">
        <v>115</v>
      </c>
      <c r="BA114" s="71">
        <v>115</v>
      </c>
      <c r="BB114" s="71"/>
      <c r="BC114" s="71"/>
      <c r="BD114" s="71"/>
      <c r="BE114" s="71"/>
      <c r="BF114" s="71"/>
      <c r="BG114" s="78"/>
      <c r="BH114" s="91"/>
      <c r="BI114" s="71"/>
      <c r="BJ114" s="71"/>
      <c r="BK114" s="78"/>
      <c r="BL114" s="91"/>
    </row>
    <row r="115" spans="1:64" ht="13.15" thickBot="1" x14ac:dyDescent="0.3">
      <c r="A115" s="213"/>
      <c r="B115" s="280"/>
      <c r="C115" s="281"/>
      <c r="D115" s="282"/>
      <c r="E115" s="283"/>
      <c r="F115" s="284"/>
      <c r="G115" s="285"/>
      <c r="H115" s="41"/>
      <c r="I115" s="258"/>
      <c r="J115" s="260"/>
      <c r="K115" s="237"/>
      <c r="L115" s="240"/>
      <c r="M115" s="258"/>
      <c r="N115" s="260"/>
      <c r="O115" s="237"/>
      <c r="P115" s="240"/>
      <c r="Q115" s="46"/>
      <c r="R115" s="47"/>
      <c r="S115" s="136">
        <f>COUNTIF(T113:AD115,"=0")</f>
        <v>31</v>
      </c>
      <c r="T115" s="98">
        <f>IF(COUNTIF(F114,"*区*")=0,IF(ISBLANK(B115),8,0),0)</f>
        <v>8</v>
      </c>
      <c r="U115" s="98">
        <f>IF(COUNTIF(F114,"*区*")=0,IF(ISBLANK(E115),9,0),0)</f>
        <v>9</v>
      </c>
      <c r="V115" s="98">
        <v>0</v>
      </c>
      <c r="W115" s="98">
        <v>0</v>
      </c>
      <c r="X115" s="98">
        <v>0</v>
      </c>
      <c r="Y115" s="98">
        <v>0</v>
      </c>
      <c r="Z115" s="94">
        <v>0</v>
      </c>
      <c r="AA115" s="94">
        <v>0</v>
      </c>
      <c r="AB115" s="94">
        <v>0</v>
      </c>
      <c r="AC115" s="94">
        <v>0</v>
      </c>
      <c r="AD115" s="94">
        <v>0</v>
      </c>
      <c r="AE115" s="94"/>
      <c r="AF115" s="128">
        <f>COUNTIF(AG113:AK115,"=0")</f>
        <v>11</v>
      </c>
      <c r="AG115" s="98">
        <v>0</v>
      </c>
      <c r="AH115" s="98">
        <v>0</v>
      </c>
      <c r="AI115" s="98">
        <v>0</v>
      </c>
      <c r="AJ115" s="98">
        <v>0</v>
      </c>
      <c r="AK115" s="97">
        <v>0</v>
      </c>
      <c r="AL115" s="98"/>
      <c r="AM115" s="138">
        <f>COUNTIF(AN113:AR115,"=0")</f>
        <v>14</v>
      </c>
      <c r="AN115" s="140">
        <f>IF(I113=M113,IF(J113=N113,29,0),0)</f>
        <v>29</v>
      </c>
      <c r="AO115" s="140">
        <f>IF(AF114=0,0,IF(ISBLANK(N113),0,20))</f>
        <v>0</v>
      </c>
      <c r="AP115" s="140">
        <f>IF(AF114=0,0,IF(ISBLANK(O113),0,20))</f>
        <v>0</v>
      </c>
      <c r="AQ115" s="140">
        <v>0</v>
      </c>
      <c r="AR115" s="140">
        <v>0</v>
      </c>
      <c r="AS115" s="98"/>
      <c r="AT115" s="96"/>
      <c r="AU115" s="71"/>
      <c r="AV115" s="71"/>
      <c r="AW115" s="71"/>
      <c r="AX115" s="71"/>
      <c r="AY115" s="71"/>
      <c r="AZ115" s="71">
        <v>116</v>
      </c>
      <c r="BA115" s="71">
        <v>115</v>
      </c>
      <c r="BB115" s="71"/>
      <c r="BC115" s="71"/>
      <c r="BD115" s="71"/>
      <c r="BE115" s="71"/>
      <c r="BF115" s="71"/>
      <c r="BG115" s="78"/>
      <c r="BH115" s="91"/>
      <c r="BI115" s="71"/>
      <c r="BJ115" s="71"/>
      <c r="BK115" s="78"/>
      <c r="BL115" s="91"/>
    </row>
    <row r="116" spans="1:64" ht="13.15" thickTop="1" x14ac:dyDescent="0.25">
      <c r="A116" s="274">
        <v>33</v>
      </c>
      <c r="B116" s="261"/>
      <c r="C116" s="261"/>
      <c r="D116" s="274" t="str">
        <f>PHONETIC(B116)&amp;" "&amp; PHONETIC(C116)</f>
        <v xml:space="preserve"> </v>
      </c>
      <c r="E116" s="48"/>
      <c r="F116" s="49"/>
      <c r="G116" s="38" t="str">
        <f>IF(ISBLANK(F116),"",IF(MONTH($AM$2)&gt;MONTH(F116),YEAR($AM$2)-YEAR(F116),IF(MONTH($AM$2)&lt;MONTH(F116),YEAR($AM$2)-YEAR(F116)-1,IF(DAY($AM$2)&gt;=DAY(F116),YEAR($AM$2)-YEAR(F116),YEAR($AM$2)-YEAR(F116)-1))))</f>
        <v/>
      </c>
      <c r="H116" s="50" t="str">
        <f>IF(S116&gt;0,VLOOKUP(S116,$BV$2:$BY$30,4),"-")</f>
        <v>-</v>
      </c>
      <c r="I116" s="269"/>
      <c r="J116" s="261"/>
      <c r="K116" s="264"/>
      <c r="L116" s="243" t="str">
        <f>IF(AF116&gt;0,VLOOKUP(AF116,$BV$2:$BY$30,4),"-")</f>
        <v>-</v>
      </c>
      <c r="M116" s="269"/>
      <c r="N116" s="261"/>
      <c r="O116" s="264"/>
      <c r="P116" s="243" t="str">
        <f>IF(AM116&gt;0,VLOOKUP(AM116,$BV$2:$BY$30,4),"-")</f>
        <v>-</v>
      </c>
      <c r="Q116" s="51"/>
      <c r="R116" s="51"/>
      <c r="S116" s="137">
        <f>IF(S117&gt;0,SMALL(T116:AD118,S118+1),0)</f>
        <v>0</v>
      </c>
      <c r="T116" s="95">
        <f>IF(ISBLANK(B116),0,IF(ISBLANK(E116),2,0))</f>
        <v>0</v>
      </c>
      <c r="U116" s="95">
        <f>IF(ISBLANK(B116),0,IF(ISBLANK(F116),3,0))</f>
        <v>0</v>
      </c>
      <c r="V116" s="95">
        <f>IF(ISBLANK(B116),0,IF(G116&lt;=17,4,0))</f>
        <v>0</v>
      </c>
      <c r="W116" s="95">
        <v>0</v>
      </c>
      <c r="X116" s="95">
        <v>0</v>
      </c>
      <c r="Y116" s="94">
        <v>0</v>
      </c>
      <c r="Z116" s="95">
        <v>0</v>
      </c>
      <c r="AA116" s="95">
        <v>0</v>
      </c>
      <c r="AB116" s="95">
        <v>0</v>
      </c>
      <c r="AC116" s="95">
        <v>0</v>
      </c>
      <c r="AD116" s="95">
        <v>0</v>
      </c>
      <c r="AE116" s="95"/>
      <c r="AF116" s="127">
        <f>IF(AF117&gt;0,SMALL(AG116:AK118,AF118+1),0)</f>
        <v>0</v>
      </c>
      <c r="AG116" s="102">
        <f>IF(ISBLANK(I116),10,0)</f>
        <v>10</v>
      </c>
      <c r="AH116" s="102">
        <f>IF(ISBLANK(J116),11,0)</f>
        <v>11</v>
      </c>
      <c r="AI116" s="102">
        <f>IF(ISBLANK(K116),13,0)</f>
        <v>13</v>
      </c>
      <c r="AJ116" s="102">
        <f>IF(ISNUMBER(K116),0,17)</f>
        <v>17</v>
      </c>
      <c r="AK116" s="101">
        <v>0</v>
      </c>
      <c r="AL116" s="102"/>
      <c r="AM116" s="141">
        <f>IF(AM117&gt;0,SMALL(AN116:AR118,AM118+1),0)</f>
        <v>0</v>
      </c>
      <c r="AN116" s="142">
        <f>IF(AF117=0,IF(ISBLANK(M116),IF(ISBLANK(N116),IF(ISBLANK(O116),0,21),21),0))</f>
        <v>0</v>
      </c>
      <c r="AO116" s="142">
        <f>IF(ISBLANK(M116),IF(ISBLANK(N116),0,22),IF(ISBLANK(N116),22,0))</f>
        <v>0</v>
      </c>
      <c r="AP116" s="142">
        <f>IF(ISBLANK(M116),0,IF(ISBLANK(O116),24,0))</f>
        <v>0</v>
      </c>
      <c r="AQ116" s="142">
        <f>IF(ISBLANK(O116),0,IF(ISNUMBER(O116),0,28))</f>
        <v>0</v>
      </c>
      <c r="AR116" s="142">
        <v>0</v>
      </c>
      <c r="AS116" s="102"/>
      <c r="AT116" s="100" t="e">
        <f>VLOOKUP(G116,$AZ$17:$BA$138,2)</f>
        <v>#N/A</v>
      </c>
      <c r="AU116" s="71"/>
      <c r="AV116" s="71"/>
      <c r="AW116" s="71"/>
      <c r="AX116" s="71"/>
      <c r="AY116" s="71"/>
      <c r="AZ116" s="71">
        <v>117</v>
      </c>
      <c r="BA116" s="71">
        <v>115</v>
      </c>
      <c r="BB116" s="71"/>
      <c r="BC116" s="71"/>
      <c r="BD116" s="71"/>
      <c r="BE116" s="71"/>
      <c r="BF116" s="71">
        <f>IF(E116="男",100,IF(E116="女",200,0))</f>
        <v>0</v>
      </c>
      <c r="BG116" s="78">
        <f>IF(I116="自由形",10,IF(I116="平泳ぎ",20,IF(I116="背泳ぎ",30,IF(I116="バタフライ",40,IF(I116="個人メドレー",50,0)))))</f>
        <v>0</v>
      </c>
      <c r="BH116" s="91">
        <f>IF(J116=25,1,IF(J116=50,2,IF(J116=100,3,0)))</f>
        <v>0</v>
      </c>
      <c r="BI116" s="71">
        <f>IF(M116="自由形",10,IF(M116="平泳ぎ",20,IF(M116="背泳ぎ",30,IF(M116="バタフライ",40,IF(M116="個人メドレー",50,0)))))</f>
        <v>0</v>
      </c>
      <c r="BJ116" s="71">
        <f>IF(N116=25,1,IF(N116=50,2,IF(N116=100,3,0)))</f>
        <v>0</v>
      </c>
      <c r="BK116" s="78">
        <f>BF116+BG116+BH116</f>
        <v>0</v>
      </c>
      <c r="BL116" s="91">
        <f>BF116+BI116+BJ116</f>
        <v>0</v>
      </c>
    </row>
    <row r="117" spans="1:64" x14ac:dyDescent="0.25">
      <c r="A117" s="275"/>
      <c r="B117" s="277"/>
      <c r="C117" s="279"/>
      <c r="D117" s="278"/>
      <c r="E117" s="54"/>
      <c r="F117" s="287"/>
      <c r="G117" s="247"/>
      <c r="H117" s="55"/>
      <c r="I117" s="270"/>
      <c r="J117" s="262"/>
      <c r="K117" s="265"/>
      <c r="L117" s="244"/>
      <c r="M117" s="270"/>
      <c r="N117" s="262"/>
      <c r="O117" s="265"/>
      <c r="P117" s="244"/>
      <c r="Q117" s="51"/>
      <c r="R117" s="51"/>
      <c r="S117" s="137">
        <f>IF(ISBLANK(B116),0,COUNTIF(T116:AD118,"&gt;0"))</f>
        <v>0</v>
      </c>
      <c r="T117" s="95">
        <f>IF(ISBLANK(B116),0,IF(ISBLANK(E117),5,0))</f>
        <v>0</v>
      </c>
      <c r="U117" s="95">
        <f>IF(ISBLANK(B116),0,IF(ISBLANK(F117),6,0))</f>
        <v>0</v>
      </c>
      <c r="V117" s="95">
        <f>IF(ISBLANK(B116),0,IF(ISBLANK(H117),7,0))</f>
        <v>0</v>
      </c>
      <c r="W117" s="95">
        <v>0</v>
      </c>
      <c r="X117" s="95">
        <v>0</v>
      </c>
      <c r="Y117" s="95">
        <f>IF(ISBLANK(B113),IF(ISBLANK(B116),0,1),0)</f>
        <v>0</v>
      </c>
      <c r="Z117" s="95">
        <v>0</v>
      </c>
      <c r="AA117" s="95">
        <v>0</v>
      </c>
      <c r="AB117" s="95">
        <v>0</v>
      </c>
      <c r="AC117" s="95">
        <v>0</v>
      </c>
      <c r="AD117" s="95">
        <v>0</v>
      </c>
      <c r="AE117" s="95"/>
      <c r="AF117" s="127">
        <f>IF(ISBLANK(B116),0,COUNTIF(AG116:AK118,"&gt;0"))</f>
        <v>0</v>
      </c>
      <c r="AG117" s="102">
        <f>IF(I116="個人メドレー",IF(J116&lt;&gt;100,12,0),0)</f>
        <v>0</v>
      </c>
      <c r="AH117" s="102">
        <f>IF(J116=25,IF(K116&lt;1000,14,0),0)</f>
        <v>0</v>
      </c>
      <c r="AI117" s="102">
        <f>IF(J116=50,IF(K116&lt;2000,15,0),0)</f>
        <v>0</v>
      </c>
      <c r="AJ117" s="102">
        <f>IF(J116=100,IF(K116&lt;4500,16,0),0)</f>
        <v>0</v>
      </c>
      <c r="AK117" s="101">
        <v>0</v>
      </c>
      <c r="AL117" s="102"/>
      <c r="AM117" s="141">
        <f>IF(ISBLANK(B116),0,IF(AF117=0,COUNTIF(AN116:AR118,"&gt;0"),COUNTIF(AN118:AP118,"&gt;0")))</f>
        <v>0</v>
      </c>
      <c r="AN117" s="142">
        <f>IF(M116="個人メドレー",IF(N116&lt;&gt;100,23,0),0)</f>
        <v>0</v>
      </c>
      <c r="AO117" s="142">
        <f>IF(N116=25,IF(O116&lt;1000,25,0),0)</f>
        <v>0</v>
      </c>
      <c r="AP117" s="142">
        <f>IF(N116=50,IF(O116&lt;2000,26,0),0)</f>
        <v>0</v>
      </c>
      <c r="AQ117" s="142">
        <f>IF(N116=100,IF(O116&lt;4500,27,0),0)</f>
        <v>0</v>
      </c>
      <c r="AR117" s="142">
        <v>0</v>
      </c>
      <c r="AS117" s="102"/>
      <c r="AT117" s="100"/>
      <c r="AU117" s="71"/>
      <c r="AV117" s="71"/>
      <c r="AW117" s="71"/>
      <c r="AX117" s="71"/>
      <c r="AY117" s="71"/>
      <c r="AZ117" s="71">
        <v>118</v>
      </c>
      <c r="BA117" s="71">
        <v>115</v>
      </c>
      <c r="BB117" s="71"/>
      <c r="BC117" s="71"/>
      <c r="BD117" s="71"/>
      <c r="BE117" s="71"/>
      <c r="BF117" s="71"/>
      <c r="BG117" s="78"/>
      <c r="BH117" s="91"/>
      <c r="BI117" s="71"/>
      <c r="BJ117" s="71"/>
      <c r="BK117" s="78"/>
      <c r="BL117" s="91"/>
    </row>
    <row r="118" spans="1:64" ht="13.15" thickBot="1" x14ac:dyDescent="0.3">
      <c r="A118" s="276"/>
      <c r="B118" s="248"/>
      <c r="C118" s="249"/>
      <c r="D118" s="250"/>
      <c r="E118" s="251"/>
      <c r="F118" s="252"/>
      <c r="G118" s="253"/>
      <c r="H118" s="56"/>
      <c r="I118" s="271"/>
      <c r="J118" s="263"/>
      <c r="K118" s="266"/>
      <c r="L118" s="245"/>
      <c r="M118" s="271"/>
      <c r="N118" s="263"/>
      <c r="O118" s="266"/>
      <c r="P118" s="245"/>
      <c r="Q118" s="52"/>
      <c r="R118" s="53"/>
      <c r="S118" s="132">
        <f>COUNTIF(T116:AD118,"=0")</f>
        <v>31</v>
      </c>
      <c r="T118" s="102">
        <f>IF(COUNTIF(F117,"*区*")=0,IF(ISBLANK(B118),8,0),0)</f>
        <v>8</v>
      </c>
      <c r="U118" s="102">
        <f>IF(COUNTIF(F117,"*区*")=0,IF(ISBLANK(E118),9,0),0)</f>
        <v>9</v>
      </c>
      <c r="V118" s="102">
        <v>0</v>
      </c>
      <c r="W118" s="102">
        <v>0</v>
      </c>
      <c r="X118" s="102">
        <v>0</v>
      </c>
      <c r="Y118" s="102">
        <v>0</v>
      </c>
      <c r="Z118" s="95">
        <v>0</v>
      </c>
      <c r="AA118" s="95">
        <v>0</v>
      </c>
      <c r="AB118" s="95">
        <v>0</v>
      </c>
      <c r="AC118" s="95">
        <v>0</v>
      </c>
      <c r="AD118" s="95">
        <v>0</v>
      </c>
      <c r="AE118" s="95"/>
      <c r="AF118" s="127">
        <f>COUNTIF(AG116:AK118,"=0")</f>
        <v>11</v>
      </c>
      <c r="AG118" s="102">
        <v>0</v>
      </c>
      <c r="AH118" s="102">
        <v>0</v>
      </c>
      <c r="AI118" s="102">
        <v>0</v>
      </c>
      <c r="AJ118" s="102">
        <v>0</v>
      </c>
      <c r="AK118" s="101">
        <v>0</v>
      </c>
      <c r="AL118" s="102"/>
      <c r="AM118" s="141">
        <f>COUNTIF(AN116:AR118,"=0")</f>
        <v>14</v>
      </c>
      <c r="AN118" s="142">
        <f>IF(I116=M116,IF(J116=N116,29,0),0)</f>
        <v>29</v>
      </c>
      <c r="AO118" s="142">
        <f>IF(AF117=0,0,IF(ISBLANK(N116),0,20))</f>
        <v>0</v>
      </c>
      <c r="AP118" s="142">
        <f>IF(AF117=0,0,IF(ISBLANK(O116),0,20))</f>
        <v>0</v>
      </c>
      <c r="AQ118" s="142">
        <v>0</v>
      </c>
      <c r="AR118" s="142">
        <v>0</v>
      </c>
      <c r="AS118" s="102"/>
      <c r="AT118" s="100"/>
      <c r="AU118" s="71"/>
      <c r="AV118" s="71"/>
      <c r="AW118" s="71"/>
      <c r="AX118" s="71"/>
      <c r="AY118" s="71"/>
      <c r="AZ118" s="71">
        <v>119</v>
      </c>
      <c r="BA118" s="71">
        <v>115</v>
      </c>
      <c r="BB118" s="71"/>
      <c r="BC118" s="71"/>
      <c r="BD118" s="71"/>
      <c r="BE118" s="71"/>
      <c r="BF118" s="71"/>
      <c r="BG118" s="78"/>
      <c r="BH118" s="91"/>
      <c r="BI118" s="71"/>
      <c r="BJ118" s="71"/>
      <c r="BK118" s="78"/>
      <c r="BL118" s="91"/>
    </row>
    <row r="119" spans="1:64" ht="13.15" thickTop="1" x14ac:dyDescent="0.25">
      <c r="A119" s="211">
        <v>34</v>
      </c>
      <c r="B119" s="254"/>
      <c r="C119" s="254"/>
      <c r="D119" s="211" t="str">
        <f>PHONETIC(B119)&amp;" "&amp; PHONETIC(C119)</f>
        <v xml:space="preserve"> </v>
      </c>
      <c r="E119" s="43"/>
      <c r="F119" s="40"/>
      <c r="G119" s="37" t="str">
        <f>IF(ISBLANK(F119),"",IF(MONTH($AM$2)&gt;MONTH(F119),YEAR($AM$2)-YEAR(F119),IF(MONTH($AM$2)&lt;MONTH(F119),YEAR($AM$2)-YEAR(F119)-1,IF(DAY($AM$2)&gt;=DAY(F119),YEAR($AM$2)-YEAR(F119),YEAR($AM$2)-YEAR(F119)-1))))</f>
        <v/>
      </c>
      <c r="H119" s="42" t="str">
        <f>IF(S119&gt;0,VLOOKUP(S119,$BV$2:$BY$30,4),"-")</f>
        <v>-</v>
      </c>
      <c r="I119" s="256"/>
      <c r="J119" s="254"/>
      <c r="K119" s="235"/>
      <c r="L119" s="238" t="str">
        <f>IF(AF119&gt;0,VLOOKUP(AF119,$BV$2:$BY$30,4),"-")</f>
        <v>-</v>
      </c>
      <c r="M119" s="256"/>
      <c r="N119" s="254"/>
      <c r="O119" s="235"/>
      <c r="P119" s="238" t="str">
        <f>IF(AM119&gt;0,VLOOKUP(AM119,$BV$2:$BY$30,4),"-")</f>
        <v>-</v>
      </c>
      <c r="Q119" s="45"/>
      <c r="R119" s="45"/>
      <c r="S119" s="135">
        <f>IF(S120&gt;0,SMALL(T119:AD121,S121+1),0)</f>
        <v>0</v>
      </c>
      <c r="T119" s="94">
        <f>IF(ISBLANK(B119),0,IF(ISBLANK(E119),2,0))</f>
        <v>0</v>
      </c>
      <c r="U119" s="94">
        <f>IF(ISBLANK(B119),0,IF(ISBLANK(F119),3,0))</f>
        <v>0</v>
      </c>
      <c r="V119" s="94">
        <f>IF(ISBLANK(B119),0,IF(G119&lt;=17,4,0))</f>
        <v>0</v>
      </c>
      <c r="W119" s="94">
        <v>0</v>
      </c>
      <c r="X119" s="94">
        <v>0</v>
      </c>
      <c r="Y119" s="94">
        <v>0</v>
      </c>
      <c r="Z119" s="94">
        <v>0</v>
      </c>
      <c r="AA119" s="94">
        <v>0</v>
      </c>
      <c r="AB119" s="94">
        <v>0</v>
      </c>
      <c r="AC119" s="94">
        <v>0</v>
      </c>
      <c r="AD119" s="94">
        <v>0</v>
      </c>
      <c r="AE119" s="94"/>
      <c r="AF119" s="128">
        <f>IF(AF120&gt;0,SMALL(AG119:AK121,AF121+1),0)</f>
        <v>0</v>
      </c>
      <c r="AG119" s="98">
        <f>IF(ISBLANK(I119),10,0)</f>
        <v>10</v>
      </c>
      <c r="AH119" s="98">
        <f>IF(ISBLANK(J119),11,0)</f>
        <v>11</v>
      </c>
      <c r="AI119" s="98">
        <f>IF(ISBLANK(K119),13,0)</f>
        <v>13</v>
      </c>
      <c r="AJ119" s="98">
        <f>IF(ISNUMBER(K119),0,17)</f>
        <v>17</v>
      </c>
      <c r="AK119" s="97">
        <v>0</v>
      </c>
      <c r="AL119" s="98"/>
      <c r="AM119" s="138">
        <f>IF(AM120&gt;0,SMALL(AN119:AR121,AM121+1),0)</f>
        <v>0</v>
      </c>
      <c r="AN119" s="140">
        <f>IF(AF120=0,IF(ISBLANK(M119),IF(ISBLANK(N119),IF(ISBLANK(O119),0,21),21),0))</f>
        <v>0</v>
      </c>
      <c r="AO119" s="140">
        <f>IF(ISBLANK(M119),IF(ISBLANK(N119),0,22),IF(ISBLANK(N119),22,0))</f>
        <v>0</v>
      </c>
      <c r="AP119" s="140">
        <f>IF(ISBLANK(M119),0,IF(ISBLANK(O119),24,0))</f>
        <v>0</v>
      </c>
      <c r="AQ119" s="140">
        <f>IF(ISBLANK(O119),0,IF(ISNUMBER(O119),0,28))</f>
        <v>0</v>
      </c>
      <c r="AR119" s="140">
        <v>0</v>
      </c>
      <c r="AS119" s="98"/>
      <c r="AT119" s="96" t="e">
        <f>VLOOKUP(G119,$AZ$17:$BA$138,2)</f>
        <v>#N/A</v>
      </c>
      <c r="AU119" s="71"/>
      <c r="AV119" s="71"/>
      <c r="AW119" s="71"/>
      <c r="AX119" s="71"/>
      <c r="AY119" s="71"/>
      <c r="AZ119" s="71">
        <v>120</v>
      </c>
      <c r="BA119" s="71">
        <v>120</v>
      </c>
      <c r="BB119" s="71"/>
      <c r="BC119" s="71"/>
      <c r="BD119" s="71"/>
      <c r="BE119" s="71"/>
      <c r="BF119" s="71">
        <f>IF(E119="男",100,IF(E119="女",200,0))</f>
        <v>0</v>
      </c>
      <c r="BG119" s="78">
        <f>IF(I119="自由形",10,IF(I119="平泳ぎ",20,IF(I119="背泳ぎ",30,IF(I119="バタフライ",40,IF(I119="個人メドレー",50,0)))))</f>
        <v>0</v>
      </c>
      <c r="BH119" s="91">
        <f>IF(J119=25,1,IF(J119=50,2,IF(J119=100,3,0)))</f>
        <v>0</v>
      </c>
      <c r="BI119" s="71">
        <f>IF(M119="自由形",10,IF(M119="平泳ぎ",20,IF(M119="背泳ぎ",30,IF(M119="バタフライ",40,IF(M119="個人メドレー",50,0)))))</f>
        <v>0</v>
      </c>
      <c r="BJ119" s="71">
        <f>IF(N119=25,1,IF(N119=50,2,IF(N119=100,3,0)))</f>
        <v>0</v>
      </c>
      <c r="BK119" s="78">
        <f>BF119+BG119+BH119</f>
        <v>0</v>
      </c>
      <c r="BL119" s="91">
        <f>BF119+BI119+BJ119</f>
        <v>0</v>
      </c>
    </row>
    <row r="120" spans="1:64" x14ac:dyDescent="0.25">
      <c r="A120" s="212"/>
      <c r="B120" s="255"/>
      <c r="C120" s="279"/>
      <c r="D120" s="216"/>
      <c r="E120" s="44"/>
      <c r="F120" s="286"/>
      <c r="G120" s="242"/>
      <c r="H120" s="39"/>
      <c r="I120" s="257"/>
      <c r="J120" s="259"/>
      <c r="K120" s="236"/>
      <c r="L120" s="239"/>
      <c r="M120" s="257"/>
      <c r="N120" s="259"/>
      <c r="O120" s="236"/>
      <c r="P120" s="239"/>
      <c r="Q120" s="45"/>
      <c r="R120" s="45"/>
      <c r="S120" s="135">
        <f>IF(ISBLANK(B119),0,COUNTIF(T119:AD121,"&gt;0"))</f>
        <v>0</v>
      </c>
      <c r="T120" s="94">
        <f>IF(ISBLANK(B119),0,IF(ISBLANK(E120),5,0))</f>
        <v>0</v>
      </c>
      <c r="U120" s="94">
        <f>IF(ISBLANK(B119),0,IF(ISBLANK(F120),6,0))</f>
        <v>0</v>
      </c>
      <c r="V120" s="94">
        <f>IF(ISBLANK(B119),0,IF(ISBLANK(H120),7,0))</f>
        <v>0</v>
      </c>
      <c r="W120" s="94">
        <v>0</v>
      </c>
      <c r="X120" s="94">
        <v>0</v>
      </c>
      <c r="Y120" s="94">
        <f>IF(ISBLANK(B116),IF(ISBLANK(B119),0,1),0)</f>
        <v>0</v>
      </c>
      <c r="Z120" s="94">
        <v>0</v>
      </c>
      <c r="AA120" s="94">
        <v>0</v>
      </c>
      <c r="AB120" s="94">
        <v>0</v>
      </c>
      <c r="AC120" s="94">
        <v>0</v>
      </c>
      <c r="AD120" s="94">
        <v>0</v>
      </c>
      <c r="AE120" s="94"/>
      <c r="AF120" s="128">
        <f>IF(ISBLANK(B119),0,COUNTIF(AG119:AK121,"&gt;0"))</f>
        <v>0</v>
      </c>
      <c r="AG120" s="98">
        <f>IF(I119="個人メドレー",IF(J119&lt;&gt;100,12,0),0)</f>
        <v>0</v>
      </c>
      <c r="AH120" s="98">
        <f>IF(J119=25,IF(K119&lt;1000,14,0),0)</f>
        <v>0</v>
      </c>
      <c r="AI120" s="98">
        <f>IF(J119=50,IF(K119&lt;2000,15,0),0)</f>
        <v>0</v>
      </c>
      <c r="AJ120" s="98">
        <f>IF(J119=100,IF(K119&lt;4500,16,0),0)</f>
        <v>0</v>
      </c>
      <c r="AK120" s="97">
        <v>0</v>
      </c>
      <c r="AL120" s="98"/>
      <c r="AM120" s="138">
        <f>IF(ISBLANK(B119),0,IF(AF120=0,COUNTIF(AN119:AR121,"&gt;0"),COUNTIF(AN121:AP121,"&gt;0")))</f>
        <v>0</v>
      </c>
      <c r="AN120" s="140">
        <f>IF(M119="個人メドレー",IF(N119&lt;&gt;100,23,0),0)</f>
        <v>0</v>
      </c>
      <c r="AO120" s="140">
        <f>IF(N119=25,IF(O119&lt;1000,25,0),0)</f>
        <v>0</v>
      </c>
      <c r="AP120" s="140">
        <f>IF(N119=50,IF(O119&lt;2000,26,0),0)</f>
        <v>0</v>
      </c>
      <c r="AQ120" s="140">
        <f>IF(N119=100,IF(O119&lt;4500,27,0),0)</f>
        <v>0</v>
      </c>
      <c r="AR120" s="140">
        <v>0</v>
      </c>
      <c r="AS120" s="98"/>
      <c r="AT120" s="96"/>
      <c r="AU120" s="71"/>
      <c r="AV120" s="71"/>
      <c r="AW120" s="71"/>
      <c r="AX120" s="71"/>
      <c r="AY120" s="71"/>
      <c r="AZ120" s="71">
        <v>121</v>
      </c>
      <c r="BA120" s="71">
        <v>120</v>
      </c>
      <c r="BB120" s="71"/>
      <c r="BC120" s="71"/>
      <c r="BD120" s="71"/>
      <c r="BE120" s="71"/>
      <c r="BF120" s="71"/>
      <c r="BG120" s="78"/>
      <c r="BH120" s="91"/>
      <c r="BI120" s="71"/>
      <c r="BJ120" s="71"/>
      <c r="BK120" s="78"/>
      <c r="BL120" s="91"/>
    </row>
    <row r="121" spans="1:64" ht="13.15" thickBot="1" x14ac:dyDescent="0.3">
      <c r="A121" s="213"/>
      <c r="B121" s="280"/>
      <c r="C121" s="281"/>
      <c r="D121" s="282"/>
      <c r="E121" s="283"/>
      <c r="F121" s="284"/>
      <c r="G121" s="285"/>
      <c r="H121" s="41"/>
      <c r="I121" s="258"/>
      <c r="J121" s="260"/>
      <c r="K121" s="237"/>
      <c r="L121" s="240"/>
      <c r="M121" s="258"/>
      <c r="N121" s="260"/>
      <c r="O121" s="237"/>
      <c r="P121" s="240"/>
      <c r="Q121" s="46"/>
      <c r="R121" s="47"/>
      <c r="S121" s="136">
        <f>COUNTIF(T119:AD121,"=0")</f>
        <v>31</v>
      </c>
      <c r="T121" s="98">
        <f>IF(COUNTIF(F120,"*区*")=0,IF(ISBLANK(B121),8,0),0)</f>
        <v>8</v>
      </c>
      <c r="U121" s="98">
        <f>IF(COUNTIF(F120,"*区*")=0,IF(ISBLANK(E121),9,0),0)</f>
        <v>9</v>
      </c>
      <c r="V121" s="98">
        <v>0</v>
      </c>
      <c r="W121" s="98">
        <v>0</v>
      </c>
      <c r="X121" s="98">
        <v>0</v>
      </c>
      <c r="Y121" s="98">
        <v>0</v>
      </c>
      <c r="Z121" s="94">
        <v>0</v>
      </c>
      <c r="AA121" s="94">
        <v>0</v>
      </c>
      <c r="AB121" s="94">
        <v>0</v>
      </c>
      <c r="AC121" s="94">
        <v>0</v>
      </c>
      <c r="AD121" s="94">
        <v>0</v>
      </c>
      <c r="AE121" s="94"/>
      <c r="AF121" s="128">
        <f>COUNTIF(AG119:AK121,"=0")</f>
        <v>11</v>
      </c>
      <c r="AG121" s="98">
        <v>0</v>
      </c>
      <c r="AH121" s="98">
        <v>0</v>
      </c>
      <c r="AI121" s="98">
        <v>0</v>
      </c>
      <c r="AJ121" s="98">
        <v>0</v>
      </c>
      <c r="AK121" s="97">
        <v>0</v>
      </c>
      <c r="AL121" s="98"/>
      <c r="AM121" s="138">
        <f>COUNTIF(AN119:AR121,"=0")</f>
        <v>14</v>
      </c>
      <c r="AN121" s="140">
        <f>IF(I119=M119,IF(J119=N119,29,0),0)</f>
        <v>29</v>
      </c>
      <c r="AO121" s="140">
        <f>IF(AF120=0,0,IF(ISBLANK(N119),0,20))</f>
        <v>0</v>
      </c>
      <c r="AP121" s="140">
        <f>IF(AF120=0,0,IF(ISBLANK(O119),0,20))</f>
        <v>0</v>
      </c>
      <c r="AQ121" s="140">
        <v>0</v>
      </c>
      <c r="AR121" s="140">
        <v>0</v>
      </c>
      <c r="AS121" s="98"/>
      <c r="AT121" s="96"/>
      <c r="AU121" s="71"/>
      <c r="AV121" s="71"/>
      <c r="AW121" s="71"/>
      <c r="AX121" s="71"/>
      <c r="AY121" s="71"/>
      <c r="AZ121" s="71">
        <v>122</v>
      </c>
      <c r="BA121" s="71">
        <v>120</v>
      </c>
      <c r="BB121" s="71"/>
      <c r="BC121" s="71"/>
      <c r="BD121" s="71"/>
      <c r="BE121" s="71"/>
      <c r="BF121" s="71"/>
      <c r="BG121" s="78"/>
      <c r="BH121" s="91"/>
      <c r="BI121" s="71"/>
      <c r="BJ121" s="71"/>
      <c r="BK121" s="78"/>
      <c r="BL121" s="91"/>
    </row>
    <row r="122" spans="1:64" ht="13.15" thickTop="1" x14ac:dyDescent="0.25">
      <c r="A122" s="274">
        <v>35</v>
      </c>
      <c r="B122" s="261"/>
      <c r="C122" s="261"/>
      <c r="D122" s="274" t="str">
        <f>PHONETIC(B122)&amp;" "&amp; PHONETIC(C122)</f>
        <v xml:space="preserve"> </v>
      </c>
      <c r="E122" s="48"/>
      <c r="F122" s="49"/>
      <c r="G122" s="38" t="str">
        <f>IF(ISBLANK(F122),"",IF(MONTH($AM$2)&gt;MONTH(F122),YEAR($AM$2)-YEAR(F122),IF(MONTH($AM$2)&lt;MONTH(F122),YEAR($AM$2)-YEAR(F122)-1,IF(DAY($AM$2)&gt;=DAY(F122),YEAR($AM$2)-YEAR(F122),YEAR($AM$2)-YEAR(F122)-1))))</f>
        <v/>
      </c>
      <c r="H122" s="50" t="str">
        <f>IF(S122&gt;0,VLOOKUP(S122,$BV$2:$BY$30,4),"-")</f>
        <v>-</v>
      </c>
      <c r="I122" s="269"/>
      <c r="J122" s="261"/>
      <c r="K122" s="264"/>
      <c r="L122" s="243" t="str">
        <f>IF(AF122&gt;0,VLOOKUP(AF122,$BV$2:$BY$30,4),"-")</f>
        <v>-</v>
      </c>
      <c r="M122" s="269"/>
      <c r="N122" s="261"/>
      <c r="O122" s="264"/>
      <c r="P122" s="243" t="str">
        <f>IF(AM122&gt;0,VLOOKUP(AM122,$BV$2:$BY$30,4),"-")</f>
        <v>-</v>
      </c>
      <c r="Q122" s="51"/>
      <c r="R122" s="51"/>
      <c r="S122" s="137">
        <f>IF(S123&gt;0,SMALL(T122:AD124,S124+1),0)</f>
        <v>0</v>
      </c>
      <c r="T122" s="95">
        <f>IF(ISBLANK(B122),0,IF(ISBLANK(E122),2,0))</f>
        <v>0</v>
      </c>
      <c r="U122" s="95">
        <f>IF(ISBLANK(B122),0,IF(ISBLANK(F122),3,0))</f>
        <v>0</v>
      </c>
      <c r="V122" s="95">
        <f>IF(ISBLANK(B122),0,IF(G122&lt;=17,4,0))</f>
        <v>0</v>
      </c>
      <c r="W122" s="95">
        <v>0</v>
      </c>
      <c r="X122" s="95">
        <v>0</v>
      </c>
      <c r="Y122" s="94">
        <v>0</v>
      </c>
      <c r="Z122" s="95">
        <v>0</v>
      </c>
      <c r="AA122" s="95">
        <v>0</v>
      </c>
      <c r="AB122" s="95">
        <v>0</v>
      </c>
      <c r="AC122" s="95">
        <v>0</v>
      </c>
      <c r="AD122" s="95">
        <v>0</v>
      </c>
      <c r="AE122" s="95"/>
      <c r="AF122" s="127">
        <f>IF(AF123&gt;0,SMALL(AG122:AK124,AF124+1),0)</f>
        <v>0</v>
      </c>
      <c r="AG122" s="102">
        <f>IF(ISBLANK(I122),10,0)</f>
        <v>10</v>
      </c>
      <c r="AH122" s="102">
        <f>IF(ISBLANK(J122),11,0)</f>
        <v>11</v>
      </c>
      <c r="AI122" s="102">
        <f>IF(ISBLANK(K122),13,0)</f>
        <v>13</v>
      </c>
      <c r="AJ122" s="102">
        <f>IF(ISNUMBER(K122),0,17)</f>
        <v>17</v>
      </c>
      <c r="AK122" s="101">
        <v>0</v>
      </c>
      <c r="AL122" s="102"/>
      <c r="AM122" s="141">
        <f>IF(AM123&gt;0,SMALL(AN122:AR124,AM124+1),0)</f>
        <v>0</v>
      </c>
      <c r="AN122" s="142">
        <f>IF(AF123=0,IF(ISBLANK(M122),IF(ISBLANK(N122),IF(ISBLANK(O122),0,21),21),0))</f>
        <v>0</v>
      </c>
      <c r="AO122" s="142">
        <f>IF(ISBLANK(M122),IF(ISBLANK(N122),0,22),IF(ISBLANK(N122),22,0))</f>
        <v>0</v>
      </c>
      <c r="AP122" s="142">
        <f>IF(ISBLANK(M122),0,IF(ISBLANK(O122),24,0))</f>
        <v>0</v>
      </c>
      <c r="AQ122" s="142">
        <f>IF(ISBLANK(O122),0,IF(ISNUMBER(O122),0,28))</f>
        <v>0</v>
      </c>
      <c r="AR122" s="142">
        <v>0</v>
      </c>
      <c r="AS122" s="102"/>
      <c r="AT122" s="100" t="e">
        <f>VLOOKUP(G122,$AZ$17:$BA$138,2)</f>
        <v>#N/A</v>
      </c>
      <c r="AU122" s="71"/>
      <c r="AV122" s="71"/>
      <c r="AW122" s="71"/>
      <c r="AX122" s="71"/>
      <c r="AY122" s="71"/>
      <c r="AZ122" s="71">
        <v>123</v>
      </c>
      <c r="BA122" s="71">
        <v>120</v>
      </c>
      <c r="BB122" s="71"/>
      <c r="BC122" s="71"/>
      <c r="BD122" s="71"/>
      <c r="BE122" s="71"/>
      <c r="BF122" s="71">
        <f>IF(E122="男",100,IF(E122="女",200,0))</f>
        <v>0</v>
      </c>
      <c r="BG122" s="78">
        <f>IF(I122="自由形",10,IF(I122="平泳ぎ",20,IF(I122="背泳ぎ",30,IF(I122="バタフライ",40,IF(I122="個人メドレー",50,0)))))</f>
        <v>0</v>
      </c>
      <c r="BH122" s="91">
        <f>IF(J122=25,1,IF(J122=50,2,IF(J122=100,3,0)))</f>
        <v>0</v>
      </c>
      <c r="BI122" s="71">
        <f>IF(M122="自由形",10,IF(M122="平泳ぎ",20,IF(M122="背泳ぎ",30,IF(M122="バタフライ",40,IF(M122="個人メドレー",50,0)))))</f>
        <v>0</v>
      </c>
      <c r="BJ122" s="71">
        <f>IF(N122=25,1,IF(N122=50,2,IF(N122=100,3,0)))</f>
        <v>0</v>
      </c>
      <c r="BK122" s="78">
        <f>BF122+BG122+BH122</f>
        <v>0</v>
      </c>
      <c r="BL122" s="91">
        <f>BF122+BI122+BJ122</f>
        <v>0</v>
      </c>
    </row>
    <row r="123" spans="1:64" x14ac:dyDescent="0.25">
      <c r="A123" s="275"/>
      <c r="B123" s="277"/>
      <c r="C123" s="279"/>
      <c r="D123" s="278"/>
      <c r="E123" s="54"/>
      <c r="F123" s="246"/>
      <c r="G123" s="247"/>
      <c r="H123" s="55"/>
      <c r="I123" s="270"/>
      <c r="J123" s="262"/>
      <c r="K123" s="265"/>
      <c r="L123" s="244"/>
      <c r="M123" s="270"/>
      <c r="N123" s="262"/>
      <c r="O123" s="265"/>
      <c r="P123" s="244"/>
      <c r="Q123" s="51"/>
      <c r="R123" s="51"/>
      <c r="S123" s="137">
        <f>IF(ISBLANK(B122),0,COUNTIF(T122:AD124,"&gt;0"))</f>
        <v>0</v>
      </c>
      <c r="T123" s="95">
        <f>IF(ISBLANK(B122),0,IF(ISBLANK(E123),5,0))</f>
        <v>0</v>
      </c>
      <c r="U123" s="95">
        <f>IF(ISBLANK(B122),0,IF(ISBLANK(F123),6,0))</f>
        <v>0</v>
      </c>
      <c r="V123" s="95">
        <f>IF(ISBLANK(B122),0,IF(ISBLANK(H123),7,0))</f>
        <v>0</v>
      </c>
      <c r="W123" s="95">
        <v>0</v>
      </c>
      <c r="X123" s="95">
        <v>0</v>
      </c>
      <c r="Y123" s="95">
        <f>IF(ISBLANK(B119),IF(ISBLANK(B122),0,1),0)</f>
        <v>0</v>
      </c>
      <c r="Z123" s="95">
        <v>0</v>
      </c>
      <c r="AA123" s="95">
        <v>0</v>
      </c>
      <c r="AB123" s="95">
        <v>0</v>
      </c>
      <c r="AC123" s="95">
        <v>0</v>
      </c>
      <c r="AD123" s="95">
        <v>0</v>
      </c>
      <c r="AE123" s="95"/>
      <c r="AF123" s="127">
        <f>IF(ISBLANK(B122),0,COUNTIF(AG122:AK124,"&gt;0"))</f>
        <v>0</v>
      </c>
      <c r="AG123" s="102">
        <f>IF(I122="個人メドレー",IF(J122&lt;&gt;100,12,0),0)</f>
        <v>0</v>
      </c>
      <c r="AH123" s="102">
        <f>IF(J122=25,IF(K122&lt;1000,14,0),0)</f>
        <v>0</v>
      </c>
      <c r="AI123" s="102">
        <f>IF(J122=50,IF(K122&lt;2000,15,0),0)</f>
        <v>0</v>
      </c>
      <c r="AJ123" s="102">
        <f>IF(J122=100,IF(K122&lt;4500,16,0),0)</f>
        <v>0</v>
      </c>
      <c r="AK123" s="101">
        <v>0</v>
      </c>
      <c r="AL123" s="102"/>
      <c r="AM123" s="141">
        <f>IF(ISBLANK(B122),0,IF(AF123=0,COUNTIF(AN122:AR124,"&gt;0"),COUNTIF(AN124:AP124,"&gt;0")))</f>
        <v>0</v>
      </c>
      <c r="AN123" s="142">
        <f>IF(M122="個人メドレー",IF(N122&lt;&gt;100,23,0),0)</f>
        <v>0</v>
      </c>
      <c r="AO123" s="142">
        <f>IF(N122=25,IF(O122&lt;1000,25,0),0)</f>
        <v>0</v>
      </c>
      <c r="AP123" s="142">
        <f>IF(N122=50,IF(O122&lt;2000,26,0),0)</f>
        <v>0</v>
      </c>
      <c r="AQ123" s="142">
        <f>IF(N122=100,IF(O122&lt;4500,27,0),0)</f>
        <v>0</v>
      </c>
      <c r="AR123" s="142">
        <v>0</v>
      </c>
      <c r="AS123" s="102"/>
      <c r="AT123" s="100"/>
      <c r="AU123" s="71"/>
      <c r="AV123" s="71"/>
      <c r="AW123" s="71"/>
      <c r="AX123" s="71"/>
      <c r="AY123" s="71"/>
      <c r="AZ123" s="71">
        <v>124</v>
      </c>
      <c r="BA123" s="71">
        <v>120</v>
      </c>
      <c r="BB123" s="71"/>
      <c r="BC123" s="71"/>
      <c r="BD123" s="71"/>
      <c r="BE123" s="71"/>
      <c r="BF123" s="71"/>
      <c r="BG123" s="78"/>
      <c r="BH123" s="91"/>
      <c r="BI123" s="71"/>
      <c r="BJ123" s="71"/>
      <c r="BK123" s="78"/>
      <c r="BL123" s="91"/>
    </row>
    <row r="124" spans="1:64" ht="13.15" thickBot="1" x14ac:dyDescent="0.3">
      <c r="A124" s="276"/>
      <c r="B124" s="248"/>
      <c r="C124" s="249"/>
      <c r="D124" s="250"/>
      <c r="E124" s="251"/>
      <c r="F124" s="252"/>
      <c r="G124" s="253"/>
      <c r="H124" s="56"/>
      <c r="I124" s="271"/>
      <c r="J124" s="263"/>
      <c r="K124" s="266"/>
      <c r="L124" s="245"/>
      <c r="M124" s="271"/>
      <c r="N124" s="263"/>
      <c r="O124" s="266"/>
      <c r="P124" s="245"/>
      <c r="Q124" s="52"/>
      <c r="R124" s="53"/>
      <c r="S124" s="132">
        <f>COUNTIF(T122:AD124,"=0")</f>
        <v>31</v>
      </c>
      <c r="T124" s="102">
        <f>IF(COUNTIF(F123,"*区*")=0,IF(ISBLANK(B124),8,0),0)</f>
        <v>8</v>
      </c>
      <c r="U124" s="102">
        <f>IF(COUNTIF(F123,"*区*")=0,IF(ISBLANK(E124),9,0),0)</f>
        <v>9</v>
      </c>
      <c r="V124" s="102">
        <v>0</v>
      </c>
      <c r="W124" s="102">
        <v>0</v>
      </c>
      <c r="X124" s="102">
        <v>0</v>
      </c>
      <c r="Y124" s="102">
        <v>0</v>
      </c>
      <c r="Z124" s="95">
        <v>0</v>
      </c>
      <c r="AA124" s="95">
        <v>0</v>
      </c>
      <c r="AB124" s="95">
        <v>0</v>
      </c>
      <c r="AC124" s="95">
        <v>0</v>
      </c>
      <c r="AD124" s="95">
        <v>0</v>
      </c>
      <c r="AE124" s="95"/>
      <c r="AF124" s="127">
        <f>COUNTIF(AG122:AK124,"=0")</f>
        <v>11</v>
      </c>
      <c r="AG124" s="102">
        <v>0</v>
      </c>
      <c r="AH124" s="102">
        <v>0</v>
      </c>
      <c r="AI124" s="102">
        <v>0</v>
      </c>
      <c r="AJ124" s="102">
        <v>0</v>
      </c>
      <c r="AK124" s="101">
        <v>0</v>
      </c>
      <c r="AL124" s="102"/>
      <c r="AM124" s="141">
        <f>COUNTIF(AN122:AR124,"=0")</f>
        <v>14</v>
      </c>
      <c r="AN124" s="142">
        <f>IF(I122=M122,IF(J122=N122,29,0),0)</f>
        <v>29</v>
      </c>
      <c r="AO124" s="142">
        <f>IF(AF123=0,0,IF(ISBLANK(N122),0,20))</f>
        <v>0</v>
      </c>
      <c r="AP124" s="142">
        <f>IF(AF123=0,0,IF(ISBLANK(O122),0,20))</f>
        <v>0</v>
      </c>
      <c r="AQ124" s="142">
        <v>0</v>
      </c>
      <c r="AR124" s="142">
        <v>0</v>
      </c>
      <c r="AS124" s="102"/>
      <c r="AT124" s="100"/>
      <c r="AU124" s="71"/>
      <c r="AV124" s="71"/>
      <c r="AW124" s="71"/>
      <c r="AX124" s="71"/>
      <c r="AY124" s="71"/>
      <c r="AZ124" s="71">
        <v>125</v>
      </c>
      <c r="BA124" s="71">
        <v>125</v>
      </c>
      <c r="BB124" s="71"/>
      <c r="BC124" s="71"/>
      <c r="BD124" s="71"/>
      <c r="BE124" s="71"/>
      <c r="BF124" s="71"/>
      <c r="BG124" s="78"/>
      <c r="BH124" s="91"/>
      <c r="BI124" s="71"/>
      <c r="BJ124" s="71"/>
      <c r="BK124" s="78"/>
      <c r="BL124" s="91"/>
    </row>
    <row r="125" spans="1:64" ht="13.15" thickTop="1" x14ac:dyDescent="0.25">
      <c r="A125" s="211">
        <v>36</v>
      </c>
      <c r="B125" s="254"/>
      <c r="C125" s="254"/>
      <c r="D125" s="211" t="str">
        <f>PHONETIC(B125)&amp;" "&amp; PHONETIC(C125)</f>
        <v xml:space="preserve"> </v>
      </c>
      <c r="E125" s="43"/>
      <c r="F125" s="40"/>
      <c r="G125" s="37" t="str">
        <f>IF(ISBLANK(F125),"",IF(MONTH($AM$2)&gt;MONTH(F125),YEAR($AM$2)-YEAR(F125),IF(MONTH($AM$2)&lt;MONTH(F125),YEAR($AM$2)-YEAR(F125)-1,IF(DAY($AM$2)&gt;=DAY(F125),YEAR($AM$2)-YEAR(F125),YEAR($AM$2)-YEAR(F125)-1))))</f>
        <v/>
      </c>
      <c r="H125" s="42" t="str">
        <f>IF(S125&gt;0,VLOOKUP(S125,$BV$2:$BY$30,4),"-")</f>
        <v>-</v>
      </c>
      <c r="I125" s="256"/>
      <c r="J125" s="254"/>
      <c r="K125" s="235"/>
      <c r="L125" s="238" t="str">
        <f>IF(AF125&gt;0,VLOOKUP(AF125,$BV$2:$BY$30,4),"-")</f>
        <v>-</v>
      </c>
      <c r="M125" s="256"/>
      <c r="N125" s="254"/>
      <c r="O125" s="235"/>
      <c r="P125" s="238" t="str">
        <f>IF(AM125&gt;0,VLOOKUP(AM125,$BV$2:$BY$30,4),"-")</f>
        <v>-</v>
      </c>
      <c r="Q125" s="45"/>
      <c r="R125" s="45"/>
      <c r="S125" s="135">
        <f>IF(S126&gt;0,SMALL(T125:AD127,S127+1),0)</f>
        <v>0</v>
      </c>
      <c r="T125" s="94">
        <f>IF(ISBLANK(B125),0,IF(ISBLANK(E125),2,0))</f>
        <v>0</v>
      </c>
      <c r="U125" s="94">
        <f>IF(ISBLANK(B125),0,IF(ISBLANK(F125),3,0))</f>
        <v>0</v>
      </c>
      <c r="V125" s="94">
        <f>IF(ISBLANK(B125),0,IF(G125&lt;=17,4,0))</f>
        <v>0</v>
      </c>
      <c r="W125" s="94">
        <v>0</v>
      </c>
      <c r="X125" s="94">
        <v>0</v>
      </c>
      <c r="Y125" s="94">
        <v>0</v>
      </c>
      <c r="Z125" s="94">
        <v>0</v>
      </c>
      <c r="AA125" s="94">
        <v>0</v>
      </c>
      <c r="AB125" s="94">
        <v>0</v>
      </c>
      <c r="AC125" s="94">
        <v>0</v>
      </c>
      <c r="AD125" s="94">
        <v>0</v>
      </c>
      <c r="AE125" s="94"/>
      <c r="AF125" s="128">
        <f>IF(AF126&gt;0,SMALL(AG125:AK127,AF127+1),0)</f>
        <v>0</v>
      </c>
      <c r="AG125" s="98">
        <f>IF(ISBLANK(I125),10,0)</f>
        <v>10</v>
      </c>
      <c r="AH125" s="98">
        <f>IF(ISBLANK(J125),11,0)</f>
        <v>11</v>
      </c>
      <c r="AI125" s="98">
        <f>IF(ISBLANK(K125),13,0)</f>
        <v>13</v>
      </c>
      <c r="AJ125" s="98">
        <f>IF(ISNUMBER(K125),0,17)</f>
        <v>17</v>
      </c>
      <c r="AK125" s="97">
        <v>0</v>
      </c>
      <c r="AL125" s="98"/>
      <c r="AM125" s="138">
        <f>IF(AM126&gt;0,SMALL(AN125:AR127,AM127+1),0)</f>
        <v>0</v>
      </c>
      <c r="AN125" s="140">
        <f>IF(AF126=0,IF(ISBLANK(M125),IF(ISBLANK(N125),IF(ISBLANK(O125),0,21),21),0))</f>
        <v>0</v>
      </c>
      <c r="AO125" s="140">
        <f>IF(ISBLANK(M125),IF(ISBLANK(N125),0,22),IF(ISBLANK(N125),22,0))</f>
        <v>0</v>
      </c>
      <c r="AP125" s="140">
        <f>IF(ISBLANK(M125),0,IF(ISBLANK(O125),24,0))</f>
        <v>0</v>
      </c>
      <c r="AQ125" s="140">
        <f>IF(ISBLANK(O125),0,IF(ISNUMBER(O125),0,28))</f>
        <v>0</v>
      </c>
      <c r="AR125" s="140">
        <v>0</v>
      </c>
      <c r="AS125" s="98"/>
      <c r="AT125" s="96" t="e">
        <f>VLOOKUP(G125,$AZ$17:$BA$138,2)</f>
        <v>#N/A</v>
      </c>
      <c r="AU125" s="71"/>
      <c r="AV125" s="71"/>
      <c r="AW125" s="71"/>
      <c r="AX125" s="71"/>
      <c r="AY125" s="71"/>
      <c r="AZ125" s="71">
        <v>126</v>
      </c>
      <c r="BA125" s="71">
        <v>125</v>
      </c>
      <c r="BB125" s="71"/>
      <c r="BC125" s="71"/>
      <c r="BD125" s="71"/>
      <c r="BE125" s="71"/>
      <c r="BF125" s="71">
        <f>IF(E125="男",100,IF(E125="女",200,0))</f>
        <v>0</v>
      </c>
      <c r="BG125" s="78">
        <f>IF(I125="自由形",10,IF(I125="平泳ぎ",20,IF(I125="背泳ぎ",30,IF(I125="バタフライ",40,IF(I125="個人メドレー",50,0)))))</f>
        <v>0</v>
      </c>
      <c r="BH125" s="91">
        <f>IF(J125=25,1,IF(J125=50,2,IF(J125=100,3,0)))</f>
        <v>0</v>
      </c>
      <c r="BI125" s="71">
        <f>IF(M125="自由形",10,IF(M125="平泳ぎ",20,IF(M125="背泳ぎ",30,IF(M125="バタフライ",40,IF(M125="個人メドレー",50,0)))))</f>
        <v>0</v>
      </c>
      <c r="BJ125" s="71">
        <f>IF(N125=25,1,IF(N125=50,2,IF(N125=100,3,0)))</f>
        <v>0</v>
      </c>
      <c r="BK125" s="78">
        <f>BF125+BG125+BH125</f>
        <v>0</v>
      </c>
      <c r="BL125" s="91">
        <f>BF125+BI125+BJ125</f>
        <v>0</v>
      </c>
    </row>
    <row r="126" spans="1:64" x14ac:dyDescent="0.25">
      <c r="A126" s="212"/>
      <c r="B126" s="255"/>
      <c r="C126" s="279"/>
      <c r="D126" s="216"/>
      <c r="E126" s="44"/>
      <c r="F126" s="286"/>
      <c r="G126" s="242"/>
      <c r="H126" s="39"/>
      <c r="I126" s="257"/>
      <c r="J126" s="259"/>
      <c r="K126" s="236"/>
      <c r="L126" s="239"/>
      <c r="M126" s="257"/>
      <c r="N126" s="259"/>
      <c r="O126" s="236"/>
      <c r="P126" s="239"/>
      <c r="Q126" s="45"/>
      <c r="R126" s="45"/>
      <c r="S126" s="135">
        <f>IF(ISBLANK(B125),0,COUNTIF(T125:AD127,"&gt;0"))</f>
        <v>0</v>
      </c>
      <c r="T126" s="94">
        <f>IF(ISBLANK(B125),0,IF(ISBLANK(E126),5,0))</f>
        <v>0</v>
      </c>
      <c r="U126" s="94">
        <f>IF(ISBLANK(B125),0,IF(ISBLANK(F126),6,0))</f>
        <v>0</v>
      </c>
      <c r="V126" s="94">
        <f>IF(ISBLANK(B125),0,IF(ISBLANK(H126),7,0))</f>
        <v>0</v>
      </c>
      <c r="W126" s="94">
        <v>0</v>
      </c>
      <c r="X126" s="94">
        <v>0</v>
      </c>
      <c r="Y126" s="94">
        <f>IF(ISBLANK(B122),IF(ISBLANK(B125),0,1),0)</f>
        <v>0</v>
      </c>
      <c r="Z126" s="94">
        <v>0</v>
      </c>
      <c r="AA126" s="94">
        <v>0</v>
      </c>
      <c r="AB126" s="94">
        <v>0</v>
      </c>
      <c r="AC126" s="94">
        <v>0</v>
      </c>
      <c r="AD126" s="94">
        <v>0</v>
      </c>
      <c r="AE126" s="94"/>
      <c r="AF126" s="128">
        <f>IF(ISBLANK(B125),0,COUNTIF(AG125:AK127,"&gt;0"))</f>
        <v>0</v>
      </c>
      <c r="AG126" s="98">
        <f>IF(I125="個人メドレー",IF(J125&lt;&gt;100,12,0),0)</f>
        <v>0</v>
      </c>
      <c r="AH126" s="98">
        <f>IF(J125=25,IF(K125&lt;1000,14,0),0)</f>
        <v>0</v>
      </c>
      <c r="AI126" s="98">
        <f>IF(J125=50,IF(K125&lt;2000,15,0),0)</f>
        <v>0</v>
      </c>
      <c r="AJ126" s="98">
        <f>IF(J125=100,IF(K125&lt;4500,16,0),0)</f>
        <v>0</v>
      </c>
      <c r="AK126" s="97">
        <v>0</v>
      </c>
      <c r="AL126" s="98"/>
      <c r="AM126" s="138">
        <f>IF(ISBLANK(B125),0,IF(AF126=0,COUNTIF(AN125:AR127,"&gt;0"),COUNTIF(AN127:AP127,"&gt;0")))</f>
        <v>0</v>
      </c>
      <c r="AN126" s="140">
        <f>IF(M125="個人メドレー",IF(N125&lt;&gt;100,23,0),0)</f>
        <v>0</v>
      </c>
      <c r="AO126" s="140">
        <f>IF(N125=25,IF(O125&lt;1000,25,0),0)</f>
        <v>0</v>
      </c>
      <c r="AP126" s="140">
        <f>IF(N125=50,IF(O125&lt;2000,26,0),0)</f>
        <v>0</v>
      </c>
      <c r="AQ126" s="140">
        <f>IF(N125=100,IF(O125&lt;4500,27,0),0)</f>
        <v>0</v>
      </c>
      <c r="AR126" s="140">
        <v>0</v>
      </c>
      <c r="AS126" s="98"/>
      <c r="AT126" s="96"/>
      <c r="AU126" s="71"/>
      <c r="AV126" s="71"/>
      <c r="AW126" s="71"/>
      <c r="AX126" s="71"/>
      <c r="AY126" s="71"/>
      <c r="AZ126" s="71">
        <v>127</v>
      </c>
      <c r="BA126" s="71">
        <v>125</v>
      </c>
      <c r="BB126" s="71"/>
      <c r="BC126" s="71"/>
      <c r="BD126" s="71"/>
      <c r="BE126" s="71"/>
      <c r="BF126" s="71"/>
      <c r="BG126" s="78"/>
      <c r="BH126" s="91"/>
      <c r="BI126" s="71"/>
      <c r="BJ126" s="71"/>
      <c r="BK126" s="78"/>
      <c r="BL126" s="91"/>
    </row>
    <row r="127" spans="1:64" ht="13.15" thickBot="1" x14ac:dyDescent="0.3">
      <c r="A127" s="213"/>
      <c r="B127" s="280"/>
      <c r="C127" s="281"/>
      <c r="D127" s="282"/>
      <c r="E127" s="283"/>
      <c r="F127" s="284"/>
      <c r="G127" s="285"/>
      <c r="H127" s="41"/>
      <c r="I127" s="258"/>
      <c r="J127" s="260"/>
      <c r="K127" s="237"/>
      <c r="L127" s="240"/>
      <c r="M127" s="258"/>
      <c r="N127" s="260"/>
      <c r="O127" s="237"/>
      <c r="P127" s="240"/>
      <c r="Q127" s="46"/>
      <c r="R127" s="47"/>
      <c r="S127" s="136">
        <f>COUNTIF(T125:AD127,"=0")</f>
        <v>31</v>
      </c>
      <c r="T127" s="98">
        <f>IF(COUNTIF(F126,"*区*")=0,IF(ISBLANK(B127),8,0),0)</f>
        <v>8</v>
      </c>
      <c r="U127" s="98">
        <f>IF(COUNTIF(F126,"*区*")=0,IF(ISBLANK(E127),9,0),0)</f>
        <v>9</v>
      </c>
      <c r="V127" s="98">
        <v>0</v>
      </c>
      <c r="W127" s="98">
        <v>0</v>
      </c>
      <c r="X127" s="98">
        <v>0</v>
      </c>
      <c r="Y127" s="98">
        <v>0</v>
      </c>
      <c r="Z127" s="94">
        <v>0</v>
      </c>
      <c r="AA127" s="94">
        <v>0</v>
      </c>
      <c r="AB127" s="94">
        <v>0</v>
      </c>
      <c r="AC127" s="94">
        <v>0</v>
      </c>
      <c r="AD127" s="94">
        <v>0</v>
      </c>
      <c r="AE127" s="94"/>
      <c r="AF127" s="128">
        <f>COUNTIF(AG125:AK127,"=0")</f>
        <v>11</v>
      </c>
      <c r="AG127" s="98">
        <v>0</v>
      </c>
      <c r="AH127" s="98">
        <v>0</v>
      </c>
      <c r="AI127" s="98">
        <v>0</v>
      </c>
      <c r="AJ127" s="98">
        <v>0</v>
      </c>
      <c r="AK127" s="97">
        <v>0</v>
      </c>
      <c r="AL127" s="98"/>
      <c r="AM127" s="138">
        <f>COUNTIF(AN125:AR127,"=0")</f>
        <v>14</v>
      </c>
      <c r="AN127" s="140">
        <f>IF(I125=M125,IF(J125=N125,29,0),0)</f>
        <v>29</v>
      </c>
      <c r="AO127" s="140">
        <f>IF(AF126=0,0,IF(ISBLANK(N125),0,20))</f>
        <v>0</v>
      </c>
      <c r="AP127" s="140">
        <f>IF(AF126=0,0,IF(ISBLANK(O125),0,20))</f>
        <v>0</v>
      </c>
      <c r="AQ127" s="140">
        <v>0</v>
      </c>
      <c r="AR127" s="140">
        <v>0</v>
      </c>
      <c r="AS127" s="98"/>
      <c r="AT127" s="96"/>
      <c r="AU127" s="71"/>
      <c r="AV127" s="71"/>
      <c r="AW127" s="71"/>
      <c r="AX127" s="71"/>
      <c r="AY127" s="71"/>
      <c r="AZ127" s="71">
        <v>128</v>
      </c>
      <c r="BA127" s="71">
        <v>125</v>
      </c>
      <c r="BB127" s="71"/>
      <c r="BC127" s="71"/>
      <c r="BD127" s="71"/>
      <c r="BE127" s="71"/>
      <c r="BF127" s="71"/>
      <c r="BG127" s="78"/>
      <c r="BH127" s="91"/>
      <c r="BI127" s="71"/>
      <c r="BJ127" s="71"/>
      <c r="BK127" s="78"/>
      <c r="BL127" s="91"/>
    </row>
    <row r="128" spans="1:64" ht="13.15" thickTop="1" x14ac:dyDescent="0.25">
      <c r="A128" s="274">
        <v>37</v>
      </c>
      <c r="B128" s="261"/>
      <c r="C128" s="261"/>
      <c r="D128" s="274" t="str">
        <f>PHONETIC(B128)&amp;" "&amp; PHONETIC(C128)</f>
        <v xml:space="preserve"> </v>
      </c>
      <c r="E128" s="48"/>
      <c r="F128" s="49"/>
      <c r="G128" s="38" t="str">
        <f>IF(ISBLANK(F128),"",IF(MONTH($AM$2)&gt;MONTH(F128),YEAR($AM$2)-YEAR(F128),IF(MONTH($AM$2)&lt;MONTH(F128),YEAR($AM$2)-YEAR(F128)-1,IF(DAY($AM$2)&gt;=DAY(F128),YEAR($AM$2)-YEAR(F128),YEAR($AM$2)-YEAR(F128)-1))))</f>
        <v/>
      </c>
      <c r="H128" s="50" t="str">
        <f>IF(S128&gt;0,VLOOKUP(S128,$BV$2:$BY$30,4),"-")</f>
        <v>-</v>
      </c>
      <c r="I128" s="269"/>
      <c r="J128" s="261"/>
      <c r="K128" s="264"/>
      <c r="L128" s="243" t="str">
        <f>IF(AF128&gt;0,VLOOKUP(AF128,$BV$2:$BY$30,4),"-")</f>
        <v>-</v>
      </c>
      <c r="M128" s="269"/>
      <c r="N128" s="261"/>
      <c r="O128" s="264"/>
      <c r="P128" s="243" t="str">
        <f>IF(AM128&gt;0,VLOOKUP(AM128,$BV$2:$BY$30,4),"-")</f>
        <v>-</v>
      </c>
      <c r="Q128" s="51"/>
      <c r="R128" s="51"/>
      <c r="S128" s="137">
        <f>IF(S129&gt;0,SMALL(T128:AD130,S130+1),0)</f>
        <v>0</v>
      </c>
      <c r="T128" s="95">
        <f>IF(ISBLANK(B128),0,IF(ISBLANK(E128),2,0))</f>
        <v>0</v>
      </c>
      <c r="U128" s="95">
        <f>IF(ISBLANK(B128),0,IF(ISBLANK(F128),3,0))</f>
        <v>0</v>
      </c>
      <c r="V128" s="95">
        <f>IF(ISBLANK(B128),0,IF(G128&lt;=17,4,0))</f>
        <v>0</v>
      </c>
      <c r="W128" s="95">
        <v>0</v>
      </c>
      <c r="X128" s="95">
        <v>0</v>
      </c>
      <c r="Y128" s="94">
        <v>0</v>
      </c>
      <c r="Z128" s="95">
        <v>0</v>
      </c>
      <c r="AA128" s="95">
        <v>0</v>
      </c>
      <c r="AB128" s="95">
        <v>0</v>
      </c>
      <c r="AC128" s="95">
        <v>0</v>
      </c>
      <c r="AD128" s="95">
        <v>0</v>
      </c>
      <c r="AE128" s="95"/>
      <c r="AF128" s="127">
        <f>IF(AF129&gt;0,SMALL(AG128:AK130,AF130+1),0)</f>
        <v>0</v>
      </c>
      <c r="AG128" s="102">
        <f>IF(ISBLANK(I128),10,0)</f>
        <v>10</v>
      </c>
      <c r="AH128" s="102">
        <f>IF(ISBLANK(J128),11,0)</f>
        <v>11</v>
      </c>
      <c r="AI128" s="102">
        <f>IF(ISBLANK(K128),13,0)</f>
        <v>13</v>
      </c>
      <c r="AJ128" s="102">
        <f>IF(ISNUMBER(K128),0,17)</f>
        <v>17</v>
      </c>
      <c r="AK128" s="101">
        <v>0</v>
      </c>
      <c r="AL128" s="102"/>
      <c r="AM128" s="141">
        <f>IF(AM129&gt;0,SMALL(AN128:AR130,AM130+1),0)</f>
        <v>0</v>
      </c>
      <c r="AN128" s="142">
        <f>IF(AF129=0,IF(ISBLANK(M128),IF(ISBLANK(N128),IF(ISBLANK(O128),0,21),21),0))</f>
        <v>0</v>
      </c>
      <c r="AO128" s="142">
        <f>IF(ISBLANK(M128),IF(ISBLANK(N128),0,22),IF(ISBLANK(N128),22,0))</f>
        <v>0</v>
      </c>
      <c r="AP128" s="142">
        <f>IF(ISBLANK(M128),0,IF(ISBLANK(O128),24,0))</f>
        <v>0</v>
      </c>
      <c r="AQ128" s="142">
        <f>IF(ISBLANK(O128),0,IF(ISNUMBER(O128),0,28))</f>
        <v>0</v>
      </c>
      <c r="AR128" s="142">
        <v>0</v>
      </c>
      <c r="AS128" s="102"/>
      <c r="AT128" s="100" t="e">
        <f>VLOOKUP(G128,$AZ$17:$BA$138,2)</f>
        <v>#N/A</v>
      </c>
      <c r="AU128" s="71"/>
      <c r="AV128" s="71"/>
      <c r="AW128" s="71"/>
      <c r="AX128" s="71"/>
      <c r="AY128" s="71"/>
      <c r="AZ128" s="71">
        <v>129</v>
      </c>
      <c r="BA128" s="71">
        <v>125</v>
      </c>
      <c r="BB128" s="71"/>
      <c r="BC128" s="71"/>
      <c r="BD128" s="71"/>
      <c r="BE128" s="71"/>
      <c r="BF128" s="71">
        <f>IF(E128="男",100,IF(E128="女",200,0))</f>
        <v>0</v>
      </c>
      <c r="BG128" s="78">
        <f>IF(I128="自由形",10,IF(I128="平泳ぎ",20,IF(I128="背泳ぎ",30,IF(I128="バタフライ",40,IF(I128="個人メドレー",50,0)))))</f>
        <v>0</v>
      </c>
      <c r="BH128" s="91">
        <f>IF(J128=25,1,IF(J128=50,2,IF(J128=100,3,0)))</f>
        <v>0</v>
      </c>
      <c r="BI128" s="71">
        <f>IF(M128="自由形",10,IF(M128="平泳ぎ",20,IF(M128="背泳ぎ",30,IF(M128="バタフライ",40,IF(M128="個人メドレー",50,0)))))</f>
        <v>0</v>
      </c>
      <c r="BJ128" s="71">
        <f>IF(N128=25,1,IF(N128=50,2,IF(N128=100,3,0)))</f>
        <v>0</v>
      </c>
      <c r="BK128" s="78">
        <f>BF128+BG128+BH128</f>
        <v>0</v>
      </c>
      <c r="BL128" s="91">
        <f>BF128+BI128+BJ128</f>
        <v>0</v>
      </c>
    </row>
    <row r="129" spans="1:64" x14ac:dyDescent="0.25">
      <c r="A129" s="275"/>
      <c r="B129" s="277"/>
      <c r="C129" s="279"/>
      <c r="D129" s="278"/>
      <c r="E129" s="54"/>
      <c r="F129" s="287"/>
      <c r="G129" s="247"/>
      <c r="H129" s="55"/>
      <c r="I129" s="270"/>
      <c r="J129" s="262"/>
      <c r="K129" s="265"/>
      <c r="L129" s="244"/>
      <c r="M129" s="270"/>
      <c r="N129" s="262"/>
      <c r="O129" s="265"/>
      <c r="P129" s="244"/>
      <c r="Q129" s="51"/>
      <c r="R129" s="51"/>
      <c r="S129" s="137">
        <f>IF(ISBLANK(B128),0,COUNTIF(T128:AD130,"&gt;0"))</f>
        <v>0</v>
      </c>
      <c r="T129" s="95">
        <f>IF(ISBLANK(B128),0,IF(ISBLANK(E129),5,0))</f>
        <v>0</v>
      </c>
      <c r="U129" s="95">
        <f>IF(ISBLANK(B128),0,IF(ISBLANK(F129),6,0))</f>
        <v>0</v>
      </c>
      <c r="V129" s="95">
        <f>IF(ISBLANK(B128),0,IF(ISBLANK(H129),7,0))</f>
        <v>0</v>
      </c>
      <c r="W129" s="95">
        <v>0</v>
      </c>
      <c r="X129" s="95">
        <v>0</v>
      </c>
      <c r="Y129" s="95">
        <f>IF(ISBLANK(B125),IF(ISBLANK(B128),0,1),0)</f>
        <v>0</v>
      </c>
      <c r="Z129" s="95">
        <v>0</v>
      </c>
      <c r="AA129" s="95">
        <v>0</v>
      </c>
      <c r="AB129" s="95">
        <v>0</v>
      </c>
      <c r="AC129" s="95">
        <v>0</v>
      </c>
      <c r="AD129" s="95">
        <v>0</v>
      </c>
      <c r="AE129" s="95"/>
      <c r="AF129" s="127">
        <f>IF(ISBLANK(B128),0,COUNTIF(AG128:AK130,"&gt;0"))</f>
        <v>0</v>
      </c>
      <c r="AG129" s="102">
        <f>IF(I128="個人メドレー",IF(J128&lt;&gt;100,12,0),0)</f>
        <v>0</v>
      </c>
      <c r="AH129" s="102">
        <f>IF(J128=25,IF(K128&lt;1000,14,0),0)</f>
        <v>0</v>
      </c>
      <c r="AI129" s="102">
        <f>IF(J128=50,IF(K128&lt;2000,15,0),0)</f>
        <v>0</v>
      </c>
      <c r="AJ129" s="102">
        <f>IF(J128=100,IF(K128&lt;4500,16,0),0)</f>
        <v>0</v>
      </c>
      <c r="AK129" s="101">
        <v>0</v>
      </c>
      <c r="AL129" s="102"/>
      <c r="AM129" s="141">
        <f>IF(ISBLANK(B128),0,IF(AF129=0,COUNTIF(AN128:AR130,"&gt;0"),COUNTIF(AN130:AP130,"&gt;0")))</f>
        <v>0</v>
      </c>
      <c r="AN129" s="142">
        <f>IF(M128="個人メドレー",IF(N128&lt;&gt;100,23,0),0)</f>
        <v>0</v>
      </c>
      <c r="AO129" s="142">
        <f>IF(N128=25,IF(O128&lt;1000,25,0),0)</f>
        <v>0</v>
      </c>
      <c r="AP129" s="142">
        <f>IF(N128=50,IF(O128&lt;2000,26,0),0)</f>
        <v>0</v>
      </c>
      <c r="AQ129" s="142">
        <f>IF(N128=100,IF(O128&lt;4500,27,0),0)</f>
        <v>0</v>
      </c>
      <c r="AR129" s="142">
        <v>0</v>
      </c>
      <c r="AS129" s="102"/>
      <c r="AT129" s="100"/>
      <c r="AU129" s="71"/>
      <c r="AV129" s="71"/>
      <c r="AW129" s="71"/>
      <c r="AX129" s="71"/>
      <c r="AY129" s="71"/>
      <c r="AZ129" s="71">
        <v>130</v>
      </c>
      <c r="BA129" s="71">
        <v>130</v>
      </c>
      <c r="BB129" s="71"/>
      <c r="BC129" s="71"/>
      <c r="BD129" s="71"/>
      <c r="BE129" s="71"/>
      <c r="BF129" s="71"/>
      <c r="BG129" s="78"/>
      <c r="BH129" s="91"/>
      <c r="BI129" s="71"/>
      <c r="BJ129" s="71"/>
      <c r="BK129" s="78"/>
      <c r="BL129" s="91"/>
    </row>
    <row r="130" spans="1:64" ht="13.15" thickBot="1" x14ac:dyDescent="0.3">
      <c r="A130" s="276"/>
      <c r="B130" s="248"/>
      <c r="C130" s="249"/>
      <c r="D130" s="250"/>
      <c r="E130" s="251"/>
      <c r="F130" s="252"/>
      <c r="G130" s="253"/>
      <c r="H130" s="56"/>
      <c r="I130" s="271"/>
      <c r="J130" s="263"/>
      <c r="K130" s="266"/>
      <c r="L130" s="245"/>
      <c r="M130" s="271"/>
      <c r="N130" s="263"/>
      <c r="O130" s="266"/>
      <c r="P130" s="245"/>
      <c r="Q130" s="52"/>
      <c r="R130" s="53"/>
      <c r="S130" s="132">
        <f>COUNTIF(T128:AD130,"=0")</f>
        <v>31</v>
      </c>
      <c r="T130" s="102">
        <f>IF(COUNTIF(F129,"*区*")=0,IF(ISBLANK(B130),8,0),0)</f>
        <v>8</v>
      </c>
      <c r="U130" s="102">
        <f>IF(COUNTIF(F129,"*区*")=0,IF(ISBLANK(E130),9,0),0)</f>
        <v>9</v>
      </c>
      <c r="V130" s="102">
        <v>0</v>
      </c>
      <c r="W130" s="102">
        <v>0</v>
      </c>
      <c r="X130" s="102">
        <v>0</v>
      </c>
      <c r="Y130" s="102">
        <v>0</v>
      </c>
      <c r="Z130" s="95">
        <v>0</v>
      </c>
      <c r="AA130" s="95">
        <v>0</v>
      </c>
      <c r="AB130" s="95">
        <v>0</v>
      </c>
      <c r="AC130" s="95">
        <v>0</v>
      </c>
      <c r="AD130" s="95">
        <v>0</v>
      </c>
      <c r="AE130" s="95"/>
      <c r="AF130" s="127">
        <f>COUNTIF(AG128:AK130,"=0")</f>
        <v>11</v>
      </c>
      <c r="AG130" s="102">
        <v>0</v>
      </c>
      <c r="AH130" s="102">
        <v>0</v>
      </c>
      <c r="AI130" s="102">
        <v>0</v>
      </c>
      <c r="AJ130" s="102">
        <v>0</v>
      </c>
      <c r="AK130" s="101">
        <v>0</v>
      </c>
      <c r="AL130" s="102"/>
      <c r="AM130" s="141">
        <f>COUNTIF(AN128:AR130,"=0")</f>
        <v>14</v>
      </c>
      <c r="AN130" s="142">
        <f>IF(I128=M128,IF(J128=N128,29,0),0)</f>
        <v>29</v>
      </c>
      <c r="AO130" s="142">
        <f>IF(AF129=0,0,IF(ISBLANK(N128),0,20))</f>
        <v>0</v>
      </c>
      <c r="AP130" s="142">
        <f>IF(AF129=0,0,IF(ISBLANK(O128),0,20))</f>
        <v>0</v>
      </c>
      <c r="AQ130" s="142">
        <v>0</v>
      </c>
      <c r="AR130" s="142">
        <v>0</v>
      </c>
      <c r="AS130" s="102"/>
      <c r="AT130" s="100"/>
      <c r="AU130" s="71"/>
      <c r="AV130" s="71"/>
      <c r="AW130" s="71"/>
      <c r="AX130" s="71"/>
      <c r="AY130" s="71"/>
      <c r="AZ130" s="71">
        <v>131</v>
      </c>
      <c r="BA130" s="71">
        <v>130</v>
      </c>
      <c r="BB130" s="71"/>
      <c r="BC130" s="71"/>
      <c r="BD130" s="71"/>
      <c r="BE130" s="71"/>
      <c r="BF130" s="71"/>
      <c r="BG130" s="78"/>
      <c r="BH130" s="91"/>
      <c r="BI130" s="71"/>
      <c r="BJ130" s="71"/>
      <c r="BK130" s="78"/>
      <c r="BL130" s="91"/>
    </row>
    <row r="131" spans="1:64" ht="13.15" thickTop="1" x14ac:dyDescent="0.25">
      <c r="A131" s="211">
        <v>38</v>
      </c>
      <c r="B131" s="254"/>
      <c r="C131" s="254"/>
      <c r="D131" s="211" t="str">
        <f>PHONETIC(B131)&amp;" "&amp; PHONETIC(C131)</f>
        <v xml:space="preserve"> </v>
      </c>
      <c r="E131" s="43"/>
      <c r="F131" s="40"/>
      <c r="G131" s="37" t="str">
        <f>IF(ISBLANK(F131),"",IF(MONTH($AM$2)&gt;MONTH(F131),YEAR($AM$2)-YEAR(F131),IF(MONTH($AM$2)&lt;MONTH(F131),YEAR($AM$2)-YEAR(F131)-1,IF(DAY($AM$2)&gt;=DAY(F131),YEAR($AM$2)-YEAR(F131),YEAR($AM$2)-YEAR(F131)-1))))</f>
        <v/>
      </c>
      <c r="H131" s="42" t="str">
        <f>IF(S131&gt;0,VLOOKUP(S131,$BV$2:$BY$30,4),"-")</f>
        <v>-</v>
      </c>
      <c r="I131" s="256"/>
      <c r="J131" s="254"/>
      <c r="K131" s="235"/>
      <c r="L131" s="238" t="str">
        <f>IF(AF131&gt;0,VLOOKUP(AF131,$BV$2:$BY$30,4),"-")</f>
        <v>-</v>
      </c>
      <c r="M131" s="256"/>
      <c r="N131" s="254"/>
      <c r="O131" s="235"/>
      <c r="P131" s="238" t="str">
        <f>IF(AM131&gt;0,VLOOKUP(AM131,$BV$2:$BY$30,4),"-")</f>
        <v>-</v>
      </c>
      <c r="Q131" s="45"/>
      <c r="R131" s="45"/>
      <c r="S131" s="135">
        <f>IF(S132&gt;0,SMALL(T131:AD133,S133+1),0)</f>
        <v>0</v>
      </c>
      <c r="T131" s="94">
        <f>IF(ISBLANK(B131),0,IF(ISBLANK(E131),2,0))</f>
        <v>0</v>
      </c>
      <c r="U131" s="94">
        <f>IF(ISBLANK(B131),0,IF(ISBLANK(F131),3,0))</f>
        <v>0</v>
      </c>
      <c r="V131" s="94">
        <f>IF(ISBLANK(B131),0,IF(G131&lt;=17,4,0))</f>
        <v>0</v>
      </c>
      <c r="W131" s="94">
        <v>0</v>
      </c>
      <c r="X131" s="94">
        <v>0</v>
      </c>
      <c r="Y131" s="94">
        <v>0</v>
      </c>
      <c r="Z131" s="94">
        <v>0</v>
      </c>
      <c r="AA131" s="94">
        <v>0</v>
      </c>
      <c r="AB131" s="94">
        <v>0</v>
      </c>
      <c r="AC131" s="94">
        <v>0</v>
      </c>
      <c r="AD131" s="94">
        <v>0</v>
      </c>
      <c r="AE131" s="94"/>
      <c r="AF131" s="128">
        <f>IF(AF132&gt;0,SMALL(AG131:AK133,AF133+1),0)</f>
        <v>0</v>
      </c>
      <c r="AG131" s="98">
        <f>IF(ISBLANK(I131),10,0)</f>
        <v>10</v>
      </c>
      <c r="AH131" s="98">
        <f>IF(ISBLANK(J131),11,0)</f>
        <v>11</v>
      </c>
      <c r="AI131" s="98">
        <f>IF(ISBLANK(K131),13,0)</f>
        <v>13</v>
      </c>
      <c r="AJ131" s="98">
        <f>IF(ISNUMBER(K131),0,17)</f>
        <v>17</v>
      </c>
      <c r="AK131" s="97">
        <v>0</v>
      </c>
      <c r="AL131" s="98"/>
      <c r="AM131" s="138">
        <f>IF(AM132&gt;0,SMALL(AN131:AR133,AM133+1),0)</f>
        <v>0</v>
      </c>
      <c r="AN131" s="140">
        <f>IF(AF132=0,IF(ISBLANK(M131),IF(ISBLANK(N131),IF(ISBLANK(O131),0,21),21),0))</f>
        <v>0</v>
      </c>
      <c r="AO131" s="140">
        <f>IF(ISBLANK(M131),IF(ISBLANK(N131),0,22),IF(ISBLANK(N131),22,0))</f>
        <v>0</v>
      </c>
      <c r="AP131" s="140">
        <f>IF(ISBLANK(M131),0,IF(ISBLANK(O131),24,0))</f>
        <v>0</v>
      </c>
      <c r="AQ131" s="140">
        <f>IF(ISBLANK(O131),0,IF(ISNUMBER(O131),0,28))</f>
        <v>0</v>
      </c>
      <c r="AR131" s="140">
        <v>0</v>
      </c>
      <c r="AS131" s="98"/>
      <c r="AT131" s="96" t="e">
        <f>VLOOKUP(G131,$AZ$17:$BA$138,2)</f>
        <v>#N/A</v>
      </c>
      <c r="AU131" s="71"/>
      <c r="AV131" s="71"/>
      <c r="AW131" s="71"/>
      <c r="AX131" s="71"/>
      <c r="AY131" s="71"/>
      <c r="AZ131" s="71">
        <v>132</v>
      </c>
      <c r="BA131" s="71">
        <v>130</v>
      </c>
      <c r="BB131" s="71"/>
      <c r="BC131" s="71"/>
      <c r="BD131" s="71"/>
      <c r="BE131" s="71"/>
      <c r="BF131" s="71">
        <f>IF(E131="男",100,IF(E131="女",200,0))</f>
        <v>0</v>
      </c>
      <c r="BG131" s="78">
        <f>IF(I131="自由形",10,IF(I131="平泳ぎ",20,IF(I131="背泳ぎ",30,IF(I131="バタフライ",40,IF(I131="個人メドレー",50,0)))))</f>
        <v>0</v>
      </c>
      <c r="BH131" s="91">
        <f>IF(J131=25,1,IF(J131=50,2,IF(J131=100,3,0)))</f>
        <v>0</v>
      </c>
      <c r="BI131" s="71">
        <f>IF(M131="自由形",10,IF(M131="平泳ぎ",20,IF(M131="背泳ぎ",30,IF(M131="バタフライ",40,IF(M131="個人メドレー",50,0)))))</f>
        <v>0</v>
      </c>
      <c r="BJ131" s="71">
        <f>IF(N131=25,1,IF(N131=50,2,IF(N131=100,3,0)))</f>
        <v>0</v>
      </c>
      <c r="BK131" s="78">
        <f>BF131+BG131+BH131</f>
        <v>0</v>
      </c>
      <c r="BL131" s="91">
        <f>BF131+BI131+BJ131</f>
        <v>0</v>
      </c>
    </row>
    <row r="132" spans="1:64" x14ac:dyDescent="0.25">
      <c r="A132" s="212"/>
      <c r="B132" s="255"/>
      <c r="C132" s="279"/>
      <c r="D132" s="216"/>
      <c r="E132" s="44"/>
      <c r="F132" s="286"/>
      <c r="G132" s="242"/>
      <c r="H132" s="39"/>
      <c r="I132" s="257"/>
      <c r="J132" s="259"/>
      <c r="K132" s="236"/>
      <c r="L132" s="239"/>
      <c r="M132" s="257"/>
      <c r="N132" s="259"/>
      <c r="O132" s="236"/>
      <c r="P132" s="239"/>
      <c r="Q132" s="45"/>
      <c r="R132" s="45"/>
      <c r="S132" s="135">
        <f>IF(ISBLANK(B131),0,COUNTIF(T131:AD133,"&gt;0"))</f>
        <v>0</v>
      </c>
      <c r="T132" s="94">
        <f>IF(ISBLANK(B131),0,IF(ISBLANK(E132),5,0))</f>
        <v>0</v>
      </c>
      <c r="U132" s="94">
        <f>IF(ISBLANK(B131),0,IF(ISBLANK(F132),6,0))</f>
        <v>0</v>
      </c>
      <c r="V132" s="94">
        <f>IF(ISBLANK(B131),0,IF(ISBLANK(H132),7,0))</f>
        <v>0</v>
      </c>
      <c r="W132" s="94">
        <v>0</v>
      </c>
      <c r="X132" s="94">
        <v>0</v>
      </c>
      <c r="Y132" s="94">
        <f>IF(ISBLANK(B128),IF(ISBLANK(B131),0,1),0)</f>
        <v>0</v>
      </c>
      <c r="Z132" s="94">
        <v>0</v>
      </c>
      <c r="AA132" s="94">
        <v>0</v>
      </c>
      <c r="AB132" s="94">
        <v>0</v>
      </c>
      <c r="AC132" s="94">
        <v>0</v>
      </c>
      <c r="AD132" s="94">
        <v>0</v>
      </c>
      <c r="AE132" s="94"/>
      <c r="AF132" s="128">
        <f>IF(ISBLANK(B131),0,COUNTIF(AG131:AK133,"&gt;0"))</f>
        <v>0</v>
      </c>
      <c r="AG132" s="98">
        <f>IF(I131="個人メドレー",IF(J131&lt;&gt;100,12,0),0)</f>
        <v>0</v>
      </c>
      <c r="AH132" s="98">
        <f>IF(J131=25,IF(K131&lt;1000,14,0),0)</f>
        <v>0</v>
      </c>
      <c r="AI132" s="98">
        <f>IF(J131=50,IF(K131&lt;2000,15,0),0)</f>
        <v>0</v>
      </c>
      <c r="AJ132" s="98">
        <f>IF(J131=100,IF(K131&lt;4500,16,0),0)</f>
        <v>0</v>
      </c>
      <c r="AK132" s="97">
        <v>0</v>
      </c>
      <c r="AL132" s="98"/>
      <c r="AM132" s="138">
        <f>IF(ISBLANK(B131),0,IF(AF132=0,COUNTIF(AN131:AR133,"&gt;0"),COUNTIF(AN133:AP133,"&gt;0")))</f>
        <v>0</v>
      </c>
      <c r="AN132" s="140">
        <f>IF(M131="個人メドレー",IF(N131&lt;&gt;100,23,0),0)</f>
        <v>0</v>
      </c>
      <c r="AO132" s="140">
        <f>IF(N131=25,IF(O131&lt;1000,25,0),0)</f>
        <v>0</v>
      </c>
      <c r="AP132" s="140">
        <f>IF(N131=50,IF(O131&lt;2000,26,0),0)</f>
        <v>0</v>
      </c>
      <c r="AQ132" s="140">
        <f>IF(N131=100,IF(O131&lt;4500,27,0),0)</f>
        <v>0</v>
      </c>
      <c r="AR132" s="140">
        <v>0</v>
      </c>
      <c r="AS132" s="98"/>
      <c r="AT132" s="96"/>
      <c r="AU132" s="71"/>
      <c r="AV132" s="71"/>
      <c r="AW132" s="71"/>
      <c r="AX132" s="71"/>
      <c r="AY132" s="71"/>
      <c r="AZ132" s="71">
        <v>133</v>
      </c>
      <c r="BA132" s="71">
        <v>130</v>
      </c>
      <c r="BB132" s="71"/>
      <c r="BC132" s="71"/>
      <c r="BD132" s="71"/>
      <c r="BE132" s="71"/>
      <c r="BF132" s="71"/>
      <c r="BG132" s="78"/>
      <c r="BH132" s="91"/>
      <c r="BI132" s="71"/>
      <c r="BJ132" s="71"/>
      <c r="BK132" s="78"/>
      <c r="BL132" s="91"/>
    </row>
    <row r="133" spans="1:64" ht="13.15" thickBot="1" x14ac:dyDescent="0.3">
      <c r="A133" s="213"/>
      <c r="B133" s="280"/>
      <c r="C133" s="281"/>
      <c r="D133" s="282"/>
      <c r="E133" s="283"/>
      <c r="F133" s="284"/>
      <c r="G133" s="285"/>
      <c r="H133" s="41"/>
      <c r="I133" s="258"/>
      <c r="J133" s="260"/>
      <c r="K133" s="237"/>
      <c r="L133" s="240"/>
      <c r="M133" s="258"/>
      <c r="N133" s="260"/>
      <c r="O133" s="237"/>
      <c r="P133" s="240"/>
      <c r="Q133" s="46"/>
      <c r="R133" s="47"/>
      <c r="S133" s="136">
        <f>COUNTIF(T131:AD133,"=0")</f>
        <v>31</v>
      </c>
      <c r="T133" s="98">
        <f>IF(COUNTIF(F132,"*区*")=0,IF(ISBLANK(B133),8,0),0)</f>
        <v>8</v>
      </c>
      <c r="U133" s="98">
        <f>IF(COUNTIF(F132,"*区*")=0,IF(ISBLANK(E133),9,0),0)</f>
        <v>9</v>
      </c>
      <c r="V133" s="98">
        <v>0</v>
      </c>
      <c r="W133" s="98">
        <v>0</v>
      </c>
      <c r="X133" s="98">
        <v>0</v>
      </c>
      <c r="Y133" s="98">
        <v>0</v>
      </c>
      <c r="Z133" s="94">
        <v>0</v>
      </c>
      <c r="AA133" s="94">
        <v>0</v>
      </c>
      <c r="AB133" s="94">
        <v>0</v>
      </c>
      <c r="AC133" s="94">
        <v>0</v>
      </c>
      <c r="AD133" s="94">
        <v>0</v>
      </c>
      <c r="AE133" s="94"/>
      <c r="AF133" s="128">
        <f>COUNTIF(AG131:AK133,"=0")</f>
        <v>11</v>
      </c>
      <c r="AG133" s="98">
        <v>0</v>
      </c>
      <c r="AH133" s="98">
        <v>0</v>
      </c>
      <c r="AI133" s="98">
        <v>0</v>
      </c>
      <c r="AJ133" s="98">
        <v>0</v>
      </c>
      <c r="AK133" s="97">
        <v>0</v>
      </c>
      <c r="AL133" s="98"/>
      <c r="AM133" s="138">
        <f>COUNTIF(AN131:AR133,"=0")</f>
        <v>14</v>
      </c>
      <c r="AN133" s="140">
        <f>IF(I131=M131,IF(J131=N131,29,0),0)</f>
        <v>29</v>
      </c>
      <c r="AO133" s="140">
        <f>IF(AF132=0,0,IF(ISBLANK(N131),0,20))</f>
        <v>0</v>
      </c>
      <c r="AP133" s="140">
        <f>IF(AF132=0,0,IF(ISBLANK(O131),0,20))</f>
        <v>0</v>
      </c>
      <c r="AQ133" s="140">
        <v>0</v>
      </c>
      <c r="AR133" s="140">
        <v>0</v>
      </c>
      <c r="AS133" s="98"/>
      <c r="AT133" s="96"/>
      <c r="AU133" s="71"/>
      <c r="AV133" s="71"/>
      <c r="AW133" s="71"/>
      <c r="AX133" s="71"/>
      <c r="AY133" s="71"/>
      <c r="AZ133" s="71">
        <v>134</v>
      </c>
      <c r="BA133" s="71">
        <v>130</v>
      </c>
      <c r="BB133" s="71"/>
      <c r="BC133" s="71"/>
      <c r="BD133" s="71"/>
      <c r="BE133" s="71"/>
      <c r="BF133" s="71"/>
      <c r="BG133" s="78"/>
      <c r="BH133" s="91"/>
      <c r="BI133" s="71"/>
      <c r="BJ133" s="71"/>
      <c r="BK133" s="78"/>
      <c r="BL133" s="91"/>
    </row>
    <row r="134" spans="1:64" ht="13.15" thickTop="1" x14ac:dyDescent="0.25">
      <c r="A134" s="274">
        <v>39</v>
      </c>
      <c r="B134" s="261"/>
      <c r="C134" s="261"/>
      <c r="D134" s="274" t="str">
        <f>PHONETIC(B134)&amp;" "&amp; PHONETIC(C134)</f>
        <v xml:space="preserve"> </v>
      </c>
      <c r="E134" s="48"/>
      <c r="F134" s="49"/>
      <c r="G134" s="38" t="str">
        <f>IF(ISBLANK(F134),"",IF(MONTH($AM$2)&gt;MONTH(F134),YEAR($AM$2)-YEAR(F134),IF(MONTH($AM$2)&lt;MONTH(F134),YEAR($AM$2)-YEAR(F134)-1,IF(DAY($AM$2)&gt;=DAY(F134),YEAR($AM$2)-YEAR(F134),YEAR($AM$2)-YEAR(F134)-1))))</f>
        <v/>
      </c>
      <c r="H134" s="50" t="str">
        <f>IF(S134&gt;0,VLOOKUP(S134,$BV$2:$BY$30,4),"-")</f>
        <v>-</v>
      </c>
      <c r="I134" s="269"/>
      <c r="J134" s="261"/>
      <c r="K134" s="264"/>
      <c r="L134" s="243" t="str">
        <f>IF(AF134&gt;0,VLOOKUP(AF134,$BV$2:$BY$30,4),"-")</f>
        <v>-</v>
      </c>
      <c r="M134" s="269"/>
      <c r="N134" s="261"/>
      <c r="O134" s="264"/>
      <c r="P134" s="243" t="str">
        <f>IF(AM134&gt;0,VLOOKUP(AM134,$BV$2:$BY$30,4),"-")</f>
        <v>-</v>
      </c>
      <c r="Q134" s="51"/>
      <c r="R134" s="51"/>
      <c r="S134" s="137">
        <f>IF(S135&gt;0,SMALL(T134:AD136,S136+1),0)</f>
        <v>0</v>
      </c>
      <c r="T134" s="95">
        <f>IF(ISBLANK(B134),0,IF(ISBLANK(E134),2,0))</f>
        <v>0</v>
      </c>
      <c r="U134" s="95">
        <f>IF(ISBLANK(B134),0,IF(ISBLANK(F134),3,0))</f>
        <v>0</v>
      </c>
      <c r="V134" s="95">
        <f>IF(ISBLANK(B134),0,IF(G134&lt;=17,4,0))</f>
        <v>0</v>
      </c>
      <c r="W134" s="95">
        <v>0</v>
      </c>
      <c r="X134" s="95">
        <v>0</v>
      </c>
      <c r="Y134" s="94">
        <v>0</v>
      </c>
      <c r="Z134" s="95">
        <v>0</v>
      </c>
      <c r="AA134" s="95">
        <v>0</v>
      </c>
      <c r="AB134" s="95">
        <v>0</v>
      </c>
      <c r="AC134" s="95">
        <v>0</v>
      </c>
      <c r="AD134" s="95">
        <v>0</v>
      </c>
      <c r="AE134" s="95"/>
      <c r="AF134" s="127">
        <f>IF(AF135&gt;0,SMALL(AG134:AK136,AF136+1),0)</f>
        <v>0</v>
      </c>
      <c r="AG134" s="102">
        <f>IF(ISBLANK(I134),10,0)</f>
        <v>10</v>
      </c>
      <c r="AH134" s="102">
        <f>IF(ISBLANK(J134),11,0)</f>
        <v>11</v>
      </c>
      <c r="AI134" s="102">
        <f>IF(ISBLANK(K134),13,0)</f>
        <v>13</v>
      </c>
      <c r="AJ134" s="102">
        <f>IF(ISNUMBER(K134),0,17)</f>
        <v>17</v>
      </c>
      <c r="AK134" s="101">
        <v>0</v>
      </c>
      <c r="AL134" s="102"/>
      <c r="AM134" s="141">
        <f>IF(AM135&gt;0,SMALL(AN134:AR136,AM136+1),0)</f>
        <v>0</v>
      </c>
      <c r="AN134" s="142">
        <f>IF(AF135=0,IF(ISBLANK(M134),IF(ISBLANK(N134),IF(ISBLANK(O134),0,21),21),0))</f>
        <v>0</v>
      </c>
      <c r="AO134" s="142">
        <f>IF(ISBLANK(M134),IF(ISBLANK(N134),0,22),IF(ISBLANK(N134),22,0))</f>
        <v>0</v>
      </c>
      <c r="AP134" s="142">
        <f>IF(ISBLANK(M134),0,IF(ISBLANK(O134),24,0))</f>
        <v>0</v>
      </c>
      <c r="AQ134" s="142">
        <f>IF(ISBLANK(O134),0,IF(ISNUMBER(O134),0,28))</f>
        <v>0</v>
      </c>
      <c r="AR134" s="142">
        <v>0</v>
      </c>
      <c r="AS134" s="102"/>
      <c r="AT134" s="100" t="e">
        <f>VLOOKUP(G134,$AZ$17:$BA$138,2)</f>
        <v>#N/A</v>
      </c>
      <c r="AU134" s="71"/>
      <c r="AV134" s="71"/>
      <c r="AW134" s="71"/>
      <c r="AX134" s="71"/>
      <c r="AY134" s="71"/>
      <c r="AZ134" s="71">
        <v>135</v>
      </c>
      <c r="BA134" s="71">
        <v>135</v>
      </c>
      <c r="BB134" s="71"/>
      <c r="BC134" s="71"/>
      <c r="BD134" s="71"/>
      <c r="BE134" s="71"/>
      <c r="BF134" s="71">
        <f>IF(E134="男",100,IF(E134="女",200,0))</f>
        <v>0</v>
      </c>
      <c r="BG134" s="78">
        <f>IF(I134="自由形",10,IF(I134="平泳ぎ",20,IF(I134="背泳ぎ",30,IF(I134="バタフライ",40,IF(I134="個人メドレー",50,0)))))</f>
        <v>0</v>
      </c>
      <c r="BH134" s="91">
        <f>IF(J134=25,1,IF(J134=50,2,IF(J134=100,3,0)))</f>
        <v>0</v>
      </c>
      <c r="BI134" s="71">
        <f>IF(M134="自由形",10,IF(M134="平泳ぎ",20,IF(M134="背泳ぎ",30,IF(M134="バタフライ",40,IF(M134="個人メドレー",50,0)))))</f>
        <v>0</v>
      </c>
      <c r="BJ134" s="71">
        <f>IF(N134=25,1,IF(N134=50,2,IF(N134=100,3,0)))</f>
        <v>0</v>
      </c>
      <c r="BK134" s="78">
        <f>BF134+BG134+BH134</f>
        <v>0</v>
      </c>
      <c r="BL134" s="91">
        <f>BF134+BI134+BJ134</f>
        <v>0</v>
      </c>
    </row>
    <row r="135" spans="1:64" x14ac:dyDescent="0.25">
      <c r="A135" s="275"/>
      <c r="B135" s="277"/>
      <c r="C135" s="279"/>
      <c r="D135" s="278"/>
      <c r="E135" s="54"/>
      <c r="F135" s="287"/>
      <c r="G135" s="247"/>
      <c r="H135" s="55"/>
      <c r="I135" s="270"/>
      <c r="J135" s="262"/>
      <c r="K135" s="265"/>
      <c r="L135" s="244"/>
      <c r="M135" s="270"/>
      <c r="N135" s="262"/>
      <c r="O135" s="265"/>
      <c r="P135" s="244"/>
      <c r="Q135" s="51"/>
      <c r="R135" s="51"/>
      <c r="S135" s="137">
        <f>IF(ISBLANK(B134),0,COUNTIF(T134:AD136,"&gt;0"))</f>
        <v>0</v>
      </c>
      <c r="T135" s="95">
        <f>IF(ISBLANK(B134),0,IF(ISBLANK(E135),5,0))</f>
        <v>0</v>
      </c>
      <c r="U135" s="95">
        <f>IF(ISBLANK(B134),0,IF(ISBLANK(F135),6,0))</f>
        <v>0</v>
      </c>
      <c r="V135" s="95">
        <f>IF(ISBLANK(B134),0,IF(ISBLANK(H135),7,0))</f>
        <v>0</v>
      </c>
      <c r="W135" s="95">
        <v>0</v>
      </c>
      <c r="X135" s="95">
        <v>0</v>
      </c>
      <c r="Y135" s="95">
        <f>IF(ISBLANK(B131),IF(ISBLANK(B134),0,1),0)</f>
        <v>0</v>
      </c>
      <c r="Z135" s="95">
        <v>0</v>
      </c>
      <c r="AA135" s="95">
        <v>0</v>
      </c>
      <c r="AB135" s="95">
        <v>0</v>
      </c>
      <c r="AC135" s="95">
        <v>0</v>
      </c>
      <c r="AD135" s="95">
        <v>0</v>
      </c>
      <c r="AE135" s="95"/>
      <c r="AF135" s="127">
        <f>IF(ISBLANK(B134),0,COUNTIF(AG134:AK136,"&gt;0"))</f>
        <v>0</v>
      </c>
      <c r="AG135" s="102">
        <f>IF(I134="個人メドレー",IF(J134&lt;&gt;100,12,0),0)</f>
        <v>0</v>
      </c>
      <c r="AH135" s="102">
        <f>IF(J134=25,IF(K134&lt;1000,14,0),0)</f>
        <v>0</v>
      </c>
      <c r="AI135" s="102">
        <f>IF(J134=50,IF(K134&lt;2000,15,0),0)</f>
        <v>0</v>
      </c>
      <c r="AJ135" s="102">
        <f>IF(J134=100,IF(K134&lt;4500,16,0),0)</f>
        <v>0</v>
      </c>
      <c r="AK135" s="101">
        <v>0</v>
      </c>
      <c r="AL135" s="102"/>
      <c r="AM135" s="141">
        <f>IF(ISBLANK(B134),0,IF(AF135=0,COUNTIF(AN134:AR136,"&gt;0"),COUNTIF(AN136:AP136,"&gt;0")))</f>
        <v>0</v>
      </c>
      <c r="AN135" s="142">
        <f>IF(M134="個人メドレー",IF(N134&lt;&gt;100,23,0),0)</f>
        <v>0</v>
      </c>
      <c r="AO135" s="142">
        <f>IF(N134=25,IF(O134&lt;1000,25,0),0)</f>
        <v>0</v>
      </c>
      <c r="AP135" s="142">
        <f>IF(N134=50,IF(O134&lt;2000,26,0),0)</f>
        <v>0</v>
      </c>
      <c r="AQ135" s="142">
        <f>IF(N134=100,IF(O134&lt;4500,27,0),0)</f>
        <v>0</v>
      </c>
      <c r="AR135" s="142">
        <v>0</v>
      </c>
      <c r="AS135" s="102"/>
      <c r="AT135" s="100"/>
      <c r="AU135" s="71"/>
      <c r="AV135" s="71"/>
      <c r="AW135" s="71"/>
      <c r="AX135" s="71"/>
      <c r="AY135" s="71"/>
      <c r="AZ135" s="71">
        <v>136</v>
      </c>
      <c r="BA135" s="71">
        <v>135</v>
      </c>
      <c r="BB135" s="71"/>
      <c r="BC135" s="71"/>
      <c r="BD135" s="71"/>
      <c r="BE135" s="71"/>
      <c r="BF135" s="71"/>
      <c r="BG135" s="78"/>
      <c r="BH135" s="91"/>
      <c r="BI135" s="71"/>
      <c r="BJ135" s="71"/>
      <c r="BK135" s="78"/>
      <c r="BL135" s="91"/>
    </row>
    <row r="136" spans="1:64" ht="13.15" thickBot="1" x14ac:dyDescent="0.3">
      <c r="A136" s="276"/>
      <c r="B136" s="248"/>
      <c r="C136" s="249"/>
      <c r="D136" s="250"/>
      <c r="E136" s="251"/>
      <c r="F136" s="252"/>
      <c r="G136" s="253"/>
      <c r="H136" s="56"/>
      <c r="I136" s="271"/>
      <c r="J136" s="263"/>
      <c r="K136" s="266"/>
      <c r="L136" s="245"/>
      <c r="M136" s="271"/>
      <c r="N136" s="263"/>
      <c r="O136" s="266"/>
      <c r="P136" s="245"/>
      <c r="Q136" s="52"/>
      <c r="R136" s="53"/>
      <c r="S136" s="132">
        <f>COUNTIF(T134:AD136,"=0")</f>
        <v>31</v>
      </c>
      <c r="T136" s="102">
        <f>IF(COUNTIF(F135,"*区*")=0,IF(ISBLANK(B136),8,0),0)</f>
        <v>8</v>
      </c>
      <c r="U136" s="102">
        <f>IF(COUNTIF(F135,"*区*")=0,IF(ISBLANK(E136),9,0),0)</f>
        <v>9</v>
      </c>
      <c r="V136" s="102">
        <v>0</v>
      </c>
      <c r="W136" s="102">
        <v>0</v>
      </c>
      <c r="X136" s="102">
        <v>0</v>
      </c>
      <c r="Y136" s="102">
        <v>0</v>
      </c>
      <c r="Z136" s="95">
        <v>0</v>
      </c>
      <c r="AA136" s="95">
        <v>0</v>
      </c>
      <c r="AB136" s="95">
        <v>0</v>
      </c>
      <c r="AC136" s="95">
        <v>0</v>
      </c>
      <c r="AD136" s="95">
        <v>0</v>
      </c>
      <c r="AE136" s="95"/>
      <c r="AF136" s="127">
        <f>COUNTIF(AG134:AK136,"=0")</f>
        <v>11</v>
      </c>
      <c r="AG136" s="102">
        <v>0</v>
      </c>
      <c r="AH136" s="102">
        <v>0</v>
      </c>
      <c r="AI136" s="102">
        <v>0</v>
      </c>
      <c r="AJ136" s="102">
        <v>0</v>
      </c>
      <c r="AK136" s="101">
        <v>0</v>
      </c>
      <c r="AL136" s="102"/>
      <c r="AM136" s="141">
        <f>COUNTIF(AN134:AR136,"=0")</f>
        <v>14</v>
      </c>
      <c r="AN136" s="142">
        <f>IF(I134=M134,IF(J134=N134,29,0),0)</f>
        <v>29</v>
      </c>
      <c r="AO136" s="142">
        <f>IF(AF135=0,0,IF(ISBLANK(N134),0,20))</f>
        <v>0</v>
      </c>
      <c r="AP136" s="142">
        <f>IF(AF135=0,0,IF(ISBLANK(O134),0,20))</f>
        <v>0</v>
      </c>
      <c r="AQ136" s="142">
        <v>0</v>
      </c>
      <c r="AR136" s="142">
        <v>0</v>
      </c>
      <c r="AS136" s="102"/>
      <c r="AT136" s="100"/>
      <c r="AU136" s="71"/>
      <c r="AV136" s="71"/>
      <c r="AW136" s="71"/>
      <c r="AX136" s="71"/>
      <c r="AY136" s="71"/>
      <c r="AZ136" s="71">
        <v>137</v>
      </c>
      <c r="BA136" s="71">
        <v>135</v>
      </c>
      <c r="BB136" s="71"/>
      <c r="BC136" s="71"/>
      <c r="BD136" s="71"/>
      <c r="BE136" s="71"/>
      <c r="BF136" s="71"/>
      <c r="BG136" s="78"/>
      <c r="BH136" s="91"/>
      <c r="BI136" s="71"/>
      <c r="BJ136" s="71"/>
      <c r="BK136" s="78"/>
      <c r="BL136" s="91"/>
    </row>
    <row r="137" spans="1:64" ht="13.15" thickTop="1" x14ac:dyDescent="0.25">
      <c r="A137" s="211">
        <v>40</v>
      </c>
      <c r="B137" s="254"/>
      <c r="C137" s="254"/>
      <c r="D137" s="211" t="str">
        <f>PHONETIC(B137)&amp;" "&amp; PHONETIC(C137)</f>
        <v xml:space="preserve"> </v>
      </c>
      <c r="E137" s="43"/>
      <c r="F137" s="113"/>
      <c r="G137" s="37" t="str">
        <f>IF(ISBLANK(F137),"",IF(MONTH($AM$2)&gt;MONTH(F137),YEAR($AM$2)-YEAR(F137),IF(MONTH($AM$2)&lt;MONTH(F137),YEAR($AM$2)-YEAR(F137)-1,IF(DAY($AM$2)&gt;=DAY(F137),YEAR($AM$2)-YEAR(F137),YEAR($AM$2)-YEAR(F137)-1))))</f>
        <v/>
      </c>
      <c r="H137" s="42" t="str">
        <f>IF(S137&gt;0,VLOOKUP(S137,$BV$2:$BY$30,4),"-")</f>
        <v>-</v>
      </c>
      <c r="I137" s="256"/>
      <c r="J137" s="254"/>
      <c r="K137" s="235"/>
      <c r="L137" s="238" t="str">
        <f>IF(AF137&gt;0,VLOOKUP(AF137,$BV$2:$BY$30,4),"-")</f>
        <v>-</v>
      </c>
      <c r="M137" s="256"/>
      <c r="N137" s="254"/>
      <c r="O137" s="235"/>
      <c r="P137" s="238" t="str">
        <f>IF(AM137&gt;0,VLOOKUP(AM137,$BV$2:$BY$30,4),"-")</f>
        <v>-</v>
      </c>
      <c r="Q137" s="45"/>
      <c r="R137" s="45"/>
      <c r="S137" s="135">
        <f>IF(S138&gt;0,SMALL(T137:AD139,S139+1),0)</f>
        <v>0</v>
      </c>
      <c r="T137" s="94">
        <f>IF(ISBLANK(B137),0,IF(ISBLANK(E137),2,0))</f>
        <v>0</v>
      </c>
      <c r="U137" s="94">
        <f>IF(ISBLANK(B137),0,IF(ISBLANK(F137),3,0))</f>
        <v>0</v>
      </c>
      <c r="V137" s="94">
        <f>IF(ISBLANK(B137),0,IF(G137&lt;=17,4,0))</f>
        <v>0</v>
      </c>
      <c r="W137" s="94">
        <v>0</v>
      </c>
      <c r="X137" s="94">
        <v>0</v>
      </c>
      <c r="Y137" s="94">
        <v>0</v>
      </c>
      <c r="Z137" s="94">
        <v>0</v>
      </c>
      <c r="AA137" s="94">
        <v>0</v>
      </c>
      <c r="AB137" s="94">
        <v>0</v>
      </c>
      <c r="AC137" s="94">
        <v>0</v>
      </c>
      <c r="AD137" s="94">
        <v>0</v>
      </c>
      <c r="AE137" s="94"/>
      <c r="AF137" s="128">
        <f>IF(AF138&gt;0,SMALL(AG137:AK139,AF139+1),0)</f>
        <v>0</v>
      </c>
      <c r="AG137" s="98">
        <f>IF(ISBLANK(I137),10,0)</f>
        <v>10</v>
      </c>
      <c r="AH137" s="98">
        <f>IF(ISBLANK(J137),11,0)</f>
        <v>11</v>
      </c>
      <c r="AI137" s="98">
        <f>IF(ISBLANK(K137),13,0)</f>
        <v>13</v>
      </c>
      <c r="AJ137" s="98">
        <f>IF(ISNUMBER(K137),0,17)</f>
        <v>17</v>
      </c>
      <c r="AK137" s="97">
        <v>0</v>
      </c>
      <c r="AL137" s="98"/>
      <c r="AM137" s="138">
        <f>IF(AM138&gt;0,SMALL(AN137:AR139,AM139+1),0)</f>
        <v>0</v>
      </c>
      <c r="AN137" s="140">
        <f>IF(AF138=0,IF(ISBLANK(M137),IF(ISBLANK(N137),IF(ISBLANK(O137),0,21),21),0))</f>
        <v>0</v>
      </c>
      <c r="AO137" s="140">
        <f>IF(ISBLANK(M137),IF(ISBLANK(N137),0,22),IF(ISBLANK(N137),22,0))</f>
        <v>0</v>
      </c>
      <c r="AP137" s="140">
        <f>IF(ISBLANK(M137),0,IF(ISBLANK(O137),24,0))</f>
        <v>0</v>
      </c>
      <c r="AQ137" s="140">
        <f>IF(ISBLANK(O137),0,IF(ISNUMBER(O137),0,28))</f>
        <v>0</v>
      </c>
      <c r="AR137" s="140">
        <v>0</v>
      </c>
      <c r="AS137" s="98"/>
      <c r="AT137" s="96" t="e">
        <f>VLOOKUP(G137,$AZ$17:$BA$138,2)</f>
        <v>#N/A</v>
      </c>
      <c r="AU137" s="71"/>
      <c r="AV137" s="71"/>
      <c r="AW137" s="71"/>
      <c r="AX137" s="71"/>
      <c r="AY137" s="71"/>
      <c r="AZ137" s="71">
        <v>138</v>
      </c>
      <c r="BA137" s="71">
        <v>135</v>
      </c>
      <c r="BB137" s="71"/>
      <c r="BC137" s="71"/>
      <c r="BD137" s="71"/>
      <c r="BE137" s="71"/>
      <c r="BF137" s="71">
        <f>IF(E137="男",100,IF(E137="女",200,0))</f>
        <v>0</v>
      </c>
      <c r="BG137" s="78">
        <f>IF(I137="自由形",10,IF(I137="平泳ぎ",20,IF(I137="背泳ぎ",30,IF(I137="バタフライ",40,IF(I137="個人メドレー",50,0)))))</f>
        <v>0</v>
      </c>
      <c r="BH137" s="91">
        <f>IF(J137=25,1,IF(J137=50,2,IF(J137=100,3,0)))</f>
        <v>0</v>
      </c>
      <c r="BI137" s="71">
        <f>IF(M137="自由形",10,IF(M137="平泳ぎ",20,IF(M137="背泳ぎ",30,IF(M137="バタフライ",40,IF(M137="個人メドレー",50,0)))))</f>
        <v>0</v>
      </c>
      <c r="BJ137" s="71">
        <f>IF(N137=25,1,IF(N137=50,2,IF(N137=100,3,0)))</f>
        <v>0</v>
      </c>
      <c r="BK137" s="78">
        <f>BF137+BG137+BH137</f>
        <v>0</v>
      </c>
      <c r="BL137" s="91">
        <f>BF137+BI137+BJ137</f>
        <v>0</v>
      </c>
    </row>
    <row r="138" spans="1:64" x14ac:dyDescent="0.25">
      <c r="A138" s="212"/>
      <c r="B138" s="255"/>
      <c r="C138" s="279"/>
      <c r="D138" s="216"/>
      <c r="E138" s="44"/>
      <c r="F138" s="286"/>
      <c r="G138" s="242"/>
      <c r="H138" s="39"/>
      <c r="I138" s="257"/>
      <c r="J138" s="259"/>
      <c r="K138" s="236"/>
      <c r="L138" s="239"/>
      <c r="M138" s="257"/>
      <c r="N138" s="259"/>
      <c r="O138" s="236"/>
      <c r="P138" s="239"/>
      <c r="Q138" s="45"/>
      <c r="R138" s="45"/>
      <c r="S138" s="135">
        <f>IF(ISBLANK(B137),0,COUNTIF(T137:AD139,"&gt;0"))</f>
        <v>0</v>
      </c>
      <c r="T138" s="94">
        <f>IF(ISBLANK(B137),0,IF(ISBLANK(E138),5,0))</f>
        <v>0</v>
      </c>
      <c r="U138" s="94">
        <f>IF(ISBLANK(B137),0,IF(ISBLANK(F138),6,0))</f>
        <v>0</v>
      </c>
      <c r="V138" s="94">
        <f>IF(ISBLANK(B137),0,IF(ISBLANK(H138),7,0))</f>
        <v>0</v>
      </c>
      <c r="W138" s="94">
        <v>0</v>
      </c>
      <c r="X138" s="94">
        <v>0</v>
      </c>
      <c r="Y138" s="94">
        <f>IF(ISBLANK(B134),IF(ISBLANK(B137),0,1),0)</f>
        <v>0</v>
      </c>
      <c r="Z138" s="94">
        <v>0</v>
      </c>
      <c r="AA138" s="94">
        <v>0</v>
      </c>
      <c r="AB138" s="94">
        <v>0</v>
      </c>
      <c r="AC138" s="94">
        <v>0</v>
      </c>
      <c r="AD138" s="94">
        <v>0</v>
      </c>
      <c r="AE138" s="94"/>
      <c r="AF138" s="128">
        <f>IF(ISBLANK(B137),0,COUNTIF(AG137:AK139,"&gt;0"))</f>
        <v>0</v>
      </c>
      <c r="AG138" s="98">
        <f>IF(I137="個人メドレー",IF(J137&lt;&gt;100,12,0),0)</f>
        <v>0</v>
      </c>
      <c r="AH138" s="98">
        <f>IF(J137=25,IF(K137&lt;1000,14,0),0)</f>
        <v>0</v>
      </c>
      <c r="AI138" s="98">
        <f>IF(J137=50,IF(K137&lt;2000,15,0),0)</f>
        <v>0</v>
      </c>
      <c r="AJ138" s="98">
        <f>IF(J137=100,IF(K137&lt;4500,16,0),0)</f>
        <v>0</v>
      </c>
      <c r="AK138" s="97">
        <v>0</v>
      </c>
      <c r="AL138" s="98"/>
      <c r="AM138" s="138">
        <f>IF(ISBLANK(B137),0,IF(AF138=0,COUNTIF(AN137:AR139,"&gt;0"),COUNTIF(AN139:AP139,"&gt;0")))</f>
        <v>0</v>
      </c>
      <c r="AN138" s="140">
        <f>IF(M137="個人メドレー",IF(N137&lt;&gt;100,23,0),0)</f>
        <v>0</v>
      </c>
      <c r="AO138" s="140">
        <f>IF(N137=25,IF(O137&lt;1000,25,0),0)</f>
        <v>0</v>
      </c>
      <c r="AP138" s="140">
        <f>IF(N137=50,IF(O137&lt;2000,26,0),0)</f>
        <v>0</v>
      </c>
      <c r="AQ138" s="140">
        <f>IF(N137=100,IF(O137&lt;4500,27,0),0)</f>
        <v>0</v>
      </c>
      <c r="AR138" s="140">
        <v>0</v>
      </c>
      <c r="AS138" s="98"/>
      <c r="AT138" s="96"/>
      <c r="AU138" s="71"/>
      <c r="AV138" s="71"/>
      <c r="AW138" s="71"/>
      <c r="AX138" s="71"/>
      <c r="AY138" s="71"/>
      <c r="AZ138" s="71">
        <v>139</v>
      </c>
      <c r="BA138" s="71">
        <v>135</v>
      </c>
      <c r="BB138" s="71"/>
      <c r="BC138" s="71"/>
      <c r="BD138" s="71"/>
      <c r="BE138" s="71"/>
      <c r="BF138" s="71"/>
      <c r="BG138" s="78"/>
      <c r="BH138" s="91"/>
      <c r="BI138" s="71"/>
      <c r="BJ138" s="71"/>
      <c r="BK138" s="78"/>
      <c r="BL138" s="91"/>
    </row>
    <row r="139" spans="1:64" ht="13.15" thickBot="1" x14ac:dyDescent="0.3">
      <c r="A139" s="213"/>
      <c r="B139" s="280"/>
      <c r="C139" s="281"/>
      <c r="D139" s="282"/>
      <c r="E139" s="283"/>
      <c r="F139" s="284"/>
      <c r="G139" s="285"/>
      <c r="H139" s="41"/>
      <c r="I139" s="258"/>
      <c r="J139" s="260"/>
      <c r="K139" s="237"/>
      <c r="L139" s="240"/>
      <c r="M139" s="258"/>
      <c r="N139" s="260"/>
      <c r="O139" s="237"/>
      <c r="P139" s="240"/>
      <c r="Q139" s="46"/>
      <c r="R139" s="47"/>
      <c r="S139" s="136">
        <f>COUNTIF(T137:AD139,"=0")</f>
        <v>31</v>
      </c>
      <c r="T139" s="98">
        <f>IF(COUNTIF(F138,"*区*")=0,IF(ISBLANK(B139),8,0),0)</f>
        <v>8</v>
      </c>
      <c r="U139" s="98">
        <f>IF(COUNTIF(F138,"*区*")=0,IF(ISBLANK(E139),9,0),0)</f>
        <v>9</v>
      </c>
      <c r="V139" s="98">
        <v>0</v>
      </c>
      <c r="W139" s="98">
        <v>0</v>
      </c>
      <c r="X139" s="98">
        <v>0</v>
      </c>
      <c r="Y139" s="98">
        <v>0</v>
      </c>
      <c r="Z139" s="94">
        <v>0</v>
      </c>
      <c r="AA139" s="94">
        <v>0</v>
      </c>
      <c r="AB139" s="94">
        <v>0</v>
      </c>
      <c r="AC139" s="94">
        <v>0</v>
      </c>
      <c r="AD139" s="94">
        <v>0</v>
      </c>
      <c r="AE139" s="94"/>
      <c r="AF139" s="128">
        <f>COUNTIF(AG137:AK139,"=0")</f>
        <v>11</v>
      </c>
      <c r="AG139" s="98">
        <v>0</v>
      </c>
      <c r="AH139" s="98">
        <v>0</v>
      </c>
      <c r="AI139" s="98">
        <v>0</v>
      </c>
      <c r="AJ139" s="98">
        <v>0</v>
      </c>
      <c r="AK139" s="97">
        <v>0</v>
      </c>
      <c r="AL139" s="98"/>
      <c r="AM139" s="138">
        <f>COUNTIF(AN137:AR139,"=0")</f>
        <v>14</v>
      </c>
      <c r="AN139" s="140">
        <f>IF(I137=M137,IF(J137=N137,29,0),0)</f>
        <v>29</v>
      </c>
      <c r="AO139" s="140">
        <f>IF(AF138=0,0,IF(ISBLANK(N137),0,20))</f>
        <v>0</v>
      </c>
      <c r="AP139" s="140">
        <f>IF(AF138=0,0,IF(ISBLANK(O137),0,20))</f>
        <v>0</v>
      </c>
      <c r="AQ139" s="140">
        <v>0</v>
      </c>
      <c r="AR139" s="140">
        <v>0</v>
      </c>
      <c r="AS139" s="98"/>
      <c r="AT139" s="96"/>
      <c r="AU139" s="71"/>
      <c r="AV139" s="71"/>
      <c r="AW139" s="71"/>
      <c r="AX139" s="71"/>
      <c r="AY139" s="71"/>
      <c r="AZ139" s="71"/>
      <c r="BA139" s="71"/>
      <c r="BB139" s="71"/>
      <c r="BC139" s="71"/>
      <c r="BD139" s="71"/>
      <c r="BE139" s="71"/>
      <c r="BF139" s="71"/>
      <c r="BG139" s="84"/>
      <c r="BH139" s="103"/>
      <c r="BI139" s="85"/>
      <c r="BJ139" s="85"/>
      <c r="BK139" s="84"/>
      <c r="BL139" s="103"/>
    </row>
    <row r="140" spans="1:64" ht="13.15" thickTop="1" x14ac:dyDescent="0.25">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row>
  </sheetData>
  <sheetProtection algorithmName="SHA-512" hashValue="GElfsUFCmG/K86eTCwgNaGecxTIboFQXijhMT5ZshMbdXkxcyi5QFqrhmM77RBz/cj/9fFOgh5OM8u1e5Fi/Ww==" saltValue="RBkGG11QSMPbt1VyVIsXZQ==" spinCount="100000" sheet="1" objects="1" scenarios="1" selectLockedCells="1"/>
  <protectedRanges>
    <protectedRange sqref="B19:C19 D17:D18 B22:C22 D20:D21 B139:C139 E17:G139 B25:C25 D23:D24 B28:C28 D26:D27 B31:C31 D29:D30 B34:C34 D32:D33 B37:C37 D35:D36 B40:C40 D38:D39 B43:C43 D41:D42 B46:C46 D44:D45 B49:C49 D47:D48 B52:C52 D50:D51 B55:C55 D53:D54 B58:C58 D56:D57 B61:C61 D59:D60 B64:C64 D62:D63 B67:C67 D65:D66 B70:C70 D68:D69 B73:C73 D71:D72 B76:C76 D74:D75 B79:C79 D77:D78 B82:C82 D80:D81 B85:C85 D83:D84 B88:C88 D86:D87 B91:C91 D89:D90 B94:C94 D92:D93 B97:C97 D95:D96 B100:C100 D98:D99 B103:C103 D101:D102 B106:C106 D104:D105 B109:C109 D107:D108 B112:C112 D110:D111 B115:C115 D113:D114 B118:C118 D116:D117 B121:C121 D119:D120 B124:C124 D122:D123 B127:C127 D125:D126 B130:C130 D128:D129 B133:C133 D131:D132 B136:C136 D134:D135 D137:D138" name="範囲1"/>
  </protectedRanges>
  <mergeCells count="667">
    <mergeCell ref="B121:D121"/>
    <mergeCell ref="C35:C36"/>
    <mergeCell ref="C131:C132"/>
    <mergeCell ref="F126:G126"/>
    <mergeCell ref="B127:D127"/>
    <mergeCell ref="E127:G127"/>
    <mergeCell ref="C125:C126"/>
    <mergeCell ref="B124:D124"/>
    <mergeCell ref="C119:C120"/>
    <mergeCell ref="E115:G115"/>
    <mergeCell ref="C113:C114"/>
    <mergeCell ref="B112:D112"/>
    <mergeCell ref="F108:G108"/>
    <mergeCell ref="B109:D109"/>
    <mergeCell ref="E109:G109"/>
    <mergeCell ref="C107:C108"/>
    <mergeCell ref="B130:D130"/>
    <mergeCell ref="F132:G132"/>
    <mergeCell ref="E121:G121"/>
    <mergeCell ref="F117:G117"/>
    <mergeCell ref="B118:D118"/>
    <mergeCell ref="E118:G118"/>
    <mergeCell ref="F114:G114"/>
    <mergeCell ref="B115:D115"/>
    <mergeCell ref="P134:P136"/>
    <mergeCell ref="F135:G135"/>
    <mergeCell ref="E136:G136"/>
    <mergeCell ref="A134:A136"/>
    <mergeCell ref="B134:B135"/>
    <mergeCell ref="D134:D135"/>
    <mergeCell ref="C134:C135"/>
    <mergeCell ref="L137:L139"/>
    <mergeCell ref="M137:M139"/>
    <mergeCell ref="N137:N139"/>
    <mergeCell ref="O137:O139"/>
    <mergeCell ref="P137:P139"/>
    <mergeCell ref="F138:G138"/>
    <mergeCell ref="E139:G139"/>
    <mergeCell ref="A137:A139"/>
    <mergeCell ref="B137:B138"/>
    <mergeCell ref="D137:D138"/>
    <mergeCell ref="I137:I139"/>
    <mergeCell ref="J137:J139"/>
    <mergeCell ref="K137:K139"/>
    <mergeCell ref="B139:D139"/>
    <mergeCell ref="C137:C138"/>
    <mergeCell ref="I134:I136"/>
    <mergeCell ref="J134:J136"/>
    <mergeCell ref="K134:K136"/>
    <mergeCell ref="B136:D136"/>
    <mergeCell ref="L131:L133"/>
    <mergeCell ref="M131:M133"/>
    <mergeCell ref="N131:N133"/>
    <mergeCell ref="O131:O133"/>
    <mergeCell ref="L134:L136"/>
    <mergeCell ref="M134:M136"/>
    <mergeCell ref="N134:N136"/>
    <mergeCell ref="O134:O136"/>
    <mergeCell ref="E133:G133"/>
    <mergeCell ref="P131:P133"/>
    <mergeCell ref="O128:O130"/>
    <mergeCell ref="P128:P130"/>
    <mergeCell ref="A131:A133"/>
    <mergeCell ref="B131:B132"/>
    <mergeCell ref="D131:D132"/>
    <mergeCell ref="I131:I133"/>
    <mergeCell ref="J131:J133"/>
    <mergeCell ref="I128:I130"/>
    <mergeCell ref="J128:J130"/>
    <mergeCell ref="A128:A130"/>
    <mergeCell ref="C128:C129"/>
    <mergeCell ref="B133:D133"/>
    <mergeCell ref="K128:K130"/>
    <mergeCell ref="L128:L130"/>
    <mergeCell ref="M128:M130"/>
    <mergeCell ref="N128:N130"/>
    <mergeCell ref="B128:B129"/>
    <mergeCell ref="D128:D129"/>
    <mergeCell ref="K131:K133"/>
    <mergeCell ref="F129:G129"/>
    <mergeCell ref="E130:G130"/>
    <mergeCell ref="M125:M127"/>
    <mergeCell ref="N125:N127"/>
    <mergeCell ref="O125:O127"/>
    <mergeCell ref="P125:P127"/>
    <mergeCell ref="O122:O124"/>
    <mergeCell ref="P122:P124"/>
    <mergeCell ref="F123:G123"/>
    <mergeCell ref="E124:G124"/>
    <mergeCell ref="M122:M124"/>
    <mergeCell ref="N122:N124"/>
    <mergeCell ref="A125:A127"/>
    <mergeCell ref="B125:B126"/>
    <mergeCell ref="D125:D126"/>
    <mergeCell ref="I125:I127"/>
    <mergeCell ref="J125:J127"/>
    <mergeCell ref="I122:I124"/>
    <mergeCell ref="J122:J124"/>
    <mergeCell ref="K122:K124"/>
    <mergeCell ref="L122:L124"/>
    <mergeCell ref="A122:A124"/>
    <mergeCell ref="B122:B123"/>
    <mergeCell ref="D122:D123"/>
    <mergeCell ref="C122:C123"/>
    <mergeCell ref="K125:K127"/>
    <mergeCell ref="L125:L127"/>
    <mergeCell ref="K119:K121"/>
    <mergeCell ref="A119:A121"/>
    <mergeCell ref="B119:B120"/>
    <mergeCell ref="D119:D120"/>
    <mergeCell ref="I119:I121"/>
    <mergeCell ref="N119:N121"/>
    <mergeCell ref="O119:O121"/>
    <mergeCell ref="P119:P121"/>
    <mergeCell ref="O116:O118"/>
    <mergeCell ref="P116:P118"/>
    <mergeCell ref="N116:N118"/>
    <mergeCell ref="J119:J121"/>
    <mergeCell ref="I116:I118"/>
    <mergeCell ref="J116:J118"/>
    <mergeCell ref="K116:K118"/>
    <mergeCell ref="L116:L118"/>
    <mergeCell ref="M116:M118"/>
    <mergeCell ref="L119:L121"/>
    <mergeCell ref="M119:M121"/>
    <mergeCell ref="A116:A118"/>
    <mergeCell ref="B116:B117"/>
    <mergeCell ref="D116:D117"/>
    <mergeCell ref="C116:C117"/>
    <mergeCell ref="F120:G120"/>
    <mergeCell ref="M113:M115"/>
    <mergeCell ref="N113:N115"/>
    <mergeCell ref="O113:O115"/>
    <mergeCell ref="P113:P115"/>
    <mergeCell ref="O110:O112"/>
    <mergeCell ref="P110:P112"/>
    <mergeCell ref="F111:G111"/>
    <mergeCell ref="E112:G112"/>
    <mergeCell ref="M110:M112"/>
    <mergeCell ref="N110:N112"/>
    <mergeCell ref="A113:A115"/>
    <mergeCell ref="B113:B114"/>
    <mergeCell ref="D113:D114"/>
    <mergeCell ref="I113:I115"/>
    <mergeCell ref="J113:J115"/>
    <mergeCell ref="I110:I112"/>
    <mergeCell ref="J110:J112"/>
    <mergeCell ref="K110:K112"/>
    <mergeCell ref="L110:L112"/>
    <mergeCell ref="A110:A112"/>
    <mergeCell ref="B110:B111"/>
    <mergeCell ref="D110:D111"/>
    <mergeCell ref="C110:C111"/>
    <mergeCell ref="K113:K115"/>
    <mergeCell ref="L113:L115"/>
    <mergeCell ref="M107:M109"/>
    <mergeCell ref="N107:N109"/>
    <mergeCell ref="O107:O109"/>
    <mergeCell ref="P107:P109"/>
    <mergeCell ref="O104:O106"/>
    <mergeCell ref="P104:P106"/>
    <mergeCell ref="F105:G105"/>
    <mergeCell ref="E106:G106"/>
    <mergeCell ref="M104:M106"/>
    <mergeCell ref="N104:N106"/>
    <mergeCell ref="A107:A109"/>
    <mergeCell ref="B107:B108"/>
    <mergeCell ref="D107:D108"/>
    <mergeCell ref="I107:I109"/>
    <mergeCell ref="J107:J109"/>
    <mergeCell ref="I104:I106"/>
    <mergeCell ref="J104:J106"/>
    <mergeCell ref="K104:K106"/>
    <mergeCell ref="L104:L106"/>
    <mergeCell ref="A104:A106"/>
    <mergeCell ref="B104:B105"/>
    <mergeCell ref="D104:D105"/>
    <mergeCell ref="C104:C105"/>
    <mergeCell ref="K107:K109"/>
    <mergeCell ref="L107:L109"/>
    <mergeCell ref="B106:D106"/>
    <mergeCell ref="M101:M103"/>
    <mergeCell ref="N101:N103"/>
    <mergeCell ref="O101:O103"/>
    <mergeCell ref="P101:P103"/>
    <mergeCell ref="O98:O100"/>
    <mergeCell ref="P98:P100"/>
    <mergeCell ref="F99:G99"/>
    <mergeCell ref="E100:G100"/>
    <mergeCell ref="M98:M100"/>
    <mergeCell ref="N98:N100"/>
    <mergeCell ref="F102:G102"/>
    <mergeCell ref="E103:G103"/>
    <mergeCell ref="A101:A103"/>
    <mergeCell ref="B101:B102"/>
    <mergeCell ref="D101:D102"/>
    <mergeCell ref="I101:I103"/>
    <mergeCell ref="J101:J103"/>
    <mergeCell ref="I98:I100"/>
    <mergeCell ref="J98:J100"/>
    <mergeCell ref="K98:K100"/>
    <mergeCell ref="L98:L100"/>
    <mergeCell ref="A98:A100"/>
    <mergeCell ref="B98:B99"/>
    <mergeCell ref="D98:D99"/>
    <mergeCell ref="C98:C99"/>
    <mergeCell ref="K101:K103"/>
    <mergeCell ref="L101:L103"/>
    <mergeCell ref="B103:D103"/>
    <mergeCell ref="C101:C102"/>
    <mergeCell ref="B100:D100"/>
    <mergeCell ref="M95:M97"/>
    <mergeCell ref="N95:N97"/>
    <mergeCell ref="O95:O97"/>
    <mergeCell ref="P95:P97"/>
    <mergeCell ref="O92:O94"/>
    <mergeCell ref="P92:P94"/>
    <mergeCell ref="F93:G93"/>
    <mergeCell ref="E94:G94"/>
    <mergeCell ref="M92:M94"/>
    <mergeCell ref="N92:N94"/>
    <mergeCell ref="F96:G96"/>
    <mergeCell ref="E97:G97"/>
    <mergeCell ref="A95:A97"/>
    <mergeCell ref="B95:B96"/>
    <mergeCell ref="D95:D96"/>
    <mergeCell ref="I95:I97"/>
    <mergeCell ref="J95:J97"/>
    <mergeCell ref="I92:I94"/>
    <mergeCell ref="J92:J94"/>
    <mergeCell ref="K92:K94"/>
    <mergeCell ref="L92:L94"/>
    <mergeCell ref="A92:A94"/>
    <mergeCell ref="B92:B93"/>
    <mergeCell ref="D92:D93"/>
    <mergeCell ref="K95:K97"/>
    <mergeCell ref="L95:L97"/>
    <mergeCell ref="B97:D97"/>
    <mergeCell ref="C95:C96"/>
    <mergeCell ref="B94:D94"/>
    <mergeCell ref="L86:L88"/>
    <mergeCell ref="C89:C90"/>
    <mergeCell ref="C92:C93"/>
    <mergeCell ref="K89:K91"/>
    <mergeCell ref="L89:L91"/>
    <mergeCell ref="M89:M91"/>
    <mergeCell ref="N89:N91"/>
    <mergeCell ref="O89:O91"/>
    <mergeCell ref="P89:P91"/>
    <mergeCell ref="O86:O88"/>
    <mergeCell ref="P86:P88"/>
    <mergeCell ref="F87:G87"/>
    <mergeCell ref="B88:D88"/>
    <mergeCell ref="E88:G88"/>
    <mergeCell ref="M86:M88"/>
    <mergeCell ref="N86:N88"/>
    <mergeCell ref="F90:G90"/>
    <mergeCell ref="B91:D91"/>
    <mergeCell ref="E91:G91"/>
    <mergeCell ref="A86:A88"/>
    <mergeCell ref="B86:B87"/>
    <mergeCell ref="D86:D87"/>
    <mergeCell ref="C83:C84"/>
    <mergeCell ref="C86:C87"/>
    <mergeCell ref="K83:K85"/>
    <mergeCell ref="A83:A85"/>
    <mergeCell ref="A89:A91"/>
    <mergeCell ref="B89:B90"/>
    <mergeCell ref="D89:D90"/>
    <mergeCell ref="I89:I91"/>
    <mergeCell ref="J89:J91"/>
    <mergeCell ref="I86:I88"/>
    <mergeCell ref="J86:J88"/>
    <mergeCell ref="K86:K88"/>
    <mergeCell ref="N83:N85"/>
    <mergeCell ref="O83:O85"/>
    <mergeCell ref="P83:P85"/>
    <mergeCell ref="O80:O82"/>
    <mergeCell ref="P80:P82"/>
    <mergeCell ref="F81:G81"/>
    <mergeCell ref="B82:D82"/>
    <mergeCell ref="E82:G82"/>
    <mergeCell ref="B83:B84"/>
    <mergeCell ref="D83:D84"/>
    <mergeCell ref="I83:I85"/>
    <mergeCell ref="J83:J85"/>
    <mergeCell ref="I80:I82"/>
    <mergeCell ref="J80:J82"/>
    <mergeCell ref="K80:K82"/>
    <mergeCell ref="L80:L82"/>
    <mergeCell ref="M80:M82"/>
    <mergeCell ref="N80:N82"/>
    <mergeCell ref="F84:G84"/>
    <mergeCell ref="B85:D85"/>
    <mergeCell ref="E85:G85"/>
    <mergeCell ref="A80:A82"/>
    <mergeCell ref="B80:B81"/>
    <mergeCell ref="D80:D81"/>
    <mergeCell ref="C77:C78"/>
    <mergeCell ref="C80:C81"/>
    <mergeCell ref="K77:K79"/>
    <mergeCell ref="A77:A79"/>
    <mergeCell ref="L83:L85"/>
    <mergeCell ref="M83:M85"/>
    <mergeCell ref="N77:N79"/>
    <mergeCell ref="O77:O79"/>
    <mergeCell ref="P77:P79"/>
    <mergeCell ref="O74:O76"/>
    <mergeCell ref="P74:P76"/>
    <mergeCell ref="F75:G75"/>
    <mergeCell ref="B76:D76"/>
    <mergeCell ref="E76:G76"/>
    <mergeCell ref="B77:B78"/>
    <mergeCell ref="D77:D78"/>
    <mergeCell ref="I77:I79"/>
    <mergeCell ref="J77:J79"/>
    <mergeCell ref="I74:I76"/>
    <mergeCell ref="J74:J76"/>
    <mergeCell ref="K74:K76"/>
    <mergeCell ref="L74:L76"/>
    <mergeCell ref="M74:M76"/>
    <mergeCell ref="N74:N76"/>
    <mergeCell ref="F78:G78"/>
    <mergeCell ref="B79:D79"/>
    <mergeCell ref="E79:G79"/>
    <mergeCell ref="A74:A76"/>
    <mergeCell ref="B74:B75"/>
    <mergeCell ref="D74:D75"/>
    <mergeCell ref="C71:C72"/>
    <mergeCell ref="C74:C75"/>
    <mergeCell ref="K71:K73"/>
    <mergeCell ref="A71:A73"/>
    <mergeCell ref="L77:L79"/>
    <mergeCell ref="M77:M79"/>
    <mergeCell ref="N71:N73"/>
    <mergeCell ref="O71:O73"/>
    <mergeCell ref="P71:P73"/>
    <mergeCell ref="O68:O70"/>
    <mergeCell ref="P68:P70"/>
    <mergeCell ref="F69:G69"/>
    <mergeCell ref="B70:D70"/>
    <mergeCell ref="E70:G70"/>
    <mergeCell ref="B71:B72"/>
    <mergeCell ref="D71:D72"/>
    <mergeCell ref="I71:I73"/>
    <mergeCell ref="J71:J73"/>
    <mergeCell ref="I68:I70"/>
    <mergeCell ref="J68:J70"/>
    <mergeCell ref="K68:K70"/>
    <mergeCell ref="L68:L70"/>
    <mergeCell ref="M68:M70"/>
    <mergeCell ref="N68:N70"/>
    <mergeCell ref="F72:G72"/>
    <mergeCell ref="B73:D73"/>
    <mergeCell ref="E73:G73"/>
    <mergeCell ref="A68:A70"/>
    <mergeCell ref="B68:B69"/>
    <mergeCell ref="D68:D69"/>
    <mergeCell ref="C65:C66"/>
    <mergeCell ref="C68:C69"/>
    <mergeCell ref="K65:K67"/>
    <mergeCell ref="A65:A67"/>
    <mergeCell ref="L71:L73"/>
    <mergeCell ref="M71:M73"/>
    <mergeCell ref="N65:N67"/>
    <mergeCell ref="O65:O67"/>
    <mergeCell ref="P65:P67"/>
    <mergeCell ref="O62:O64"/>
    <mergeCell ref="P62:P64"/>
    <mergeCell ref="F63:G63"/>
    <mergeCell ref="B64:D64"/>
    <mergeCell ref="E64:G64"/>
    <mergeCell ref="B65:B66"/>
    <mergeCell ref="D65:D66"/>
    <mergeCell ref="I65:I67"/>
    <mergeCell ref="J65:J67"/>
    <mergeCell ref="I62:I64"/>
    <mergeCell ref="J62:J64"/>
    <mergeCell ref="K62:K64"/>
    <mergeCell ref="L62:L64"/>
    <mergeCell ref="M62:M64"/>
    <mergeCell ref="N62:N64"/>
    <mergeCell ref="F66:G66"/>
    <mergeCell ref="B67:D67"/>
    <mergeCell ref="E67:G67"/>
    <mergeCell ref="A62:A64"/>
    <mergeCell ref="B62:B63"/>
    <mergeCell ref="D62:D63"/>
    <mergeCell ref="C59:C60"/>
    <mergeCell ref="C62:C63"/>
    <mergeCell ref="K59:K61"/>
    <mergeCell ref="A59:A61"/>
    <mergeCell ref="L65:L67"/>
    <mergeCell ref="M65:M67"/>
    <mergeCell ref="N59:N61"/>
    <mergeCell ref="O59:O61"/>
    <mergeCell ref="P59:P61"/>
    <mergeCell ref="O56:O58"/>
    <mergeCell ref="P56:P58"/>
    <mergeCell ref="F57:G57"/>
    <mergeCell ref="B58:D58"/>
    <mergeCell ref="E58:G58"/>
    <mergeCell ref="B59:B60"/>
    <mergeCell ref="D59:D60"/>
    <mergeCell ref="I59:I61"/>
    <mergeCell ref="J59:J61"/>
    <mergeCell ref="I56:I58"/>
    <mergeCell ref="J56:J58"/>
    <mergeCell ref="K56:K58"/>
    <mergeCell ref="L56:L58"/>
    <mergeCell ref="M56:M58"/>
    <mergeCell ref="N56:N58"/>
    <mergeCell ref="F60:G60"/>
    <mergeCell ref="B61:D61"/>
    <mergeCell ref="E61:G61"/>
    <mergeCell ref="A56:A58"/>
    <mergeCell ref="B56:B57"/>
    <mergeCell ref="D56:D57"/>
    <mergeCell ref="C53:C54"/>
    <mergeCell ref="C56:C57"/>
    <mergeCell ref="K53:K55"/>
    <mergeCell ref="A53:A55"/>
    <mergeCell ref="L59:L61"/>
    <mergeCell ref="M59:M61"/>
    <mergeCell ref="N53:N55"/>
    <mergeCell ref="O53:O55"/>
    <mergeCell ref="P53:P55"/>
    <mergeCell ref="O50:O52"/>
    <mergeCell ref="P50:P52"/>
    <mergeCell ref="F51:G51"/>
    <mergeCell ref="B52:D52"/>
    <mergeCell ref="E52:G52"/>
    <mergeCell ref="B53:B54"/>
    <mergeCell ref="D53:D54"/>
    <mergeCell ref="I53:I55"/>
    <mergeCell ref="J53:J55"/>
    <mergeCell ref="I50:I52"/>
    <mergeCell ref="J50:J52"/>
    <mergeCell ref="K50:K52"/>
    <mergeCell ref="L50:L52"/>
    <mergeCell ref="M50:M52"/>
    <mergeCell ref="N50:N52"/>
    <mergeCell ref="F54:G54"/>
    <mergeCell ref="B55:D55"/>
    <mergeCell ref="E55:G55"/>
    <mergeCell ref="A50:A52"/>
    <mergeCell ref="B50:B51"/>
    <mergeCell ref="D50:D51"/>
    <mergeCell ref="C47:C48"/>
    <mergeCell ref="C50:C51"/>
    <mergeCell ref="K47:K49"/>
    <mergeCell ref="A47:A49"/>
    <mergeCell ref="L53:L55"/>
    <mergeCell ref="M53:M55"/>
    <mergeCell ref="N47:N49"/>
    <mergeCell ref="O47:O49"/>
    <mergeCell ref="P47:P49"/>
    <mergeCell ref="O44:O46"/>
    <mergeCell ref="P44:P46"/>
    <mergeCell ref="F45:G45"/>
    <mergeCell ref="B46:D46"/>
    <mergeCell ref="E46:G46"/>
    <mergeCell ref="B47:B48"/>
    <mergeCell ref="D47:D48"/>
    <mergeCell ref="I47:I49"/>
    <mergeCell ref="J47:J49"/>
    <mergeCell ref="I44:I46"/>
    <mergeCell ref="J44:J46"/>
    <mergeCell ref="K44:K46"/>
    <mergeCell ref="L44:L46"/>
    <mergeCell ref="M44:M46"/>
    <mergeCell ref="N44:N46"/>
    <mergeCell ref="F48:G48"/>
    <mergeCell ref="B49:D49"/>
    <mergeCell ref="E49:G49"/>
    <mergeCell ref="M41:M43"/>
    <mergeCell ref="L47:L49"/>
    <mergeCell ref="M47:M49"/>
    <mergeCell ref="A41:A43"/>
    <mergeCell ref="B41:B42"/>
    <mergeCell ref="D41:D42"/>
    <mergeCell ref="I41:I43"/>
    <mergeCell ref="J41:J43"/>
    <mergeCell ref="K41:K43"/>
    <mergeCell ref="L38:L40"/>
    <mergeCell ref="B43:D43"/>
    <mergeCell ref="E43:G43"/>
    <mergeCell ref="A38:A40"/>
    <mergeCell ref="B38:B39"/>
    <mergeCell ref="D38:D39"/>
    <mergeCell ref="I38:I40"/>
    <mergeCell ref="C38:C39"/>
    <mergeCell ref="A44:A46"/>
    <mergeCell ref="B44:B45"/>
    <mergeCell ref="D44:D45"/>
    <mergeCell ref="C41:C42"/>
    <mergeCell ref="C44:C45"/>
    <mergeCell ref="L41:L43"/>
    <mergeCell ref="L35:L37"/>
    <mergeCell ref="M35:M37"/>
    <mergeCell ref="N41:N43"/>
    <mergeCell ref="O41:O43"/>
    <mergeCell ref="P35:P37"/>
    <mergeCell ref="F36:G36"/>
    <mergeCell ref="P32:P34"/>
    <mergeCell ref="F33:G33"/>
    <mergeCell ref="B34:D34"/>
    <mergeCell ref="E34:G34"/>
    <mergeCell ref="M32:M34"/>
    <mergeCell ref="N32:N34"/>
    <mergeCell ref="O32:O34"/>
    <mergeCell ref="P41:P43"/>
    <mergeCell ref="F42:G42"/>
    <mergeCell ref="P38:P40"/>
    <mergeCell ref="F39:G39"/>
    <mergeCell ref="B40:D40"/>
    <mergeCell ref="E40:G40"/>
    <mergeCell ref="M38:M40"/>
    <mergeCell ref="N38:N40"/>
    <mergeCell ref="O38:O40"/>
    <mergeCell ref="J38:J40"/>
    <mergeCell ref="K38:K40"/>
    <mergeCell ref="M29:M31"/>
    <mergeCell ref="N29:N31"/>
    <mergeCell ref="N35:N37"/>
    <mergeCell ref="O35:O37"/>
    <mergeCell ref="C29:C30"/>
    <mergeCell ref="O29:O31"/>
    <mergeCell ref="P29:P31"/>
    <mergeCell ref="F30:G30"/>
    <mergeCell ref="A35:A37"/>
    <mergeCell ref="B35:B36"/>
    <mergeCell ref="D35:D36"/>
    <mergeCell ref="I35:I37"/>
    <mergeCell ref="J35:J37"/>
    <mergeCell ref="K35:K37"/>
    <mergeCell ref="J32:J34"/>
    <mergeCell ref="K32:K34"/>
    <mergeCell ref="L32:L34"/>
    <mergeCell ref="B37:D37"/>
    <mergeCell ref="E37:G37"/>
    <mergeCell ref="C32:C33"/>
    <mergeCell ref="A32:A34"/>
    <mergeCell ref="B32:B33"/>
    <mergeCell ref="D32:D33"/>
    <mergeCell ref="I32:I34"/>
    <mergeCell ref="A29:A31"/>
    <mergeCell ref="B29:B30"/>
    <mergeCell ref="D29:D30"/>
    <mergeCell ref="I29:I31"/>
    <mergeCell ref="J29:J31"/>
    <mergeCell ref="K29:K31"/>
    <mergeCell ref="J26:J28"/>
    <mergeCell ref="K26:K28"/>
    <mergeCell ref="L26:L28"/>
    <mergeCell ref="B31:D31"/>
    <mergeCell ref="E31:G31"/>
    <mergeCell ref="C26:C27"/>
    <mergeCell ref="L29:L31"/>
    <mergeCell ref="A20:A22"/>
    <mergeCell ref="B20:B21"/>
    <mergeCell ref="D20:D21"/>
    <mergeCell ref="I20:I22"/>
    <mergeCell ref="C20:C21"/>
    <mergeCell ref="A23:A25"/>
    <mergeCell ref="P26:P28"/>
    <mergeCell ref="F27:G27"/>
    <mergeCell ref="B28:D28"/>
    <mergeCell ref="E28:G28"/>
    <mergeCell ref="M26:M28"/>
    <mergeCell ref="N26:N28"/>
    <mergeCell ref="O26:O28"/>
    <mergeCell ref="B25:D25"/>
    <mergeCell ref="E25:G25"/>
    <mergeCell ref="A26:A28"/>
    <mergeCell ref="B26:B27"/>
    <mergeCell ref="D26:D27"/>
    <mergeCell ref="I26:I28"/>
    <mergeCell ref="L23:L25"/>
    <mergeCell ref="M23:M25"/>
    <mergeCell ref="N23:N25"/>
    <mergeCell ref="C23:C24"/>
    <mergeCell ref="L17:L19"/>
    <mergeCell ref="M17:M19"/>
    <mergeCell ref="O23:O25"/>
    <mergeCell ref="P23:P25"/>
    <mergeCell ref="F24:G24"/>
    <mergeCell ref="P20:P22"/>
    <mergeCell ref="F21:G21"/>
    <mergeCell ref="B22:D22"/>
    <mergeCell ref="E22:G22"/>
    <mergeCell ref="B23:B24"/>
    <mergeCell ref="D23:D24"/>
    <mergeCell ref="I23:I25"/>
    <mergeCell ref="J23:J25"/>
    <mergeCell ref="K23:K25"/>
    <mergeCell ref="J20:J22"/>
    <mergeCell ref="K20:K22"/>
    <mergeCell ref="L20:L22"/>
    <mergeCell ref="M20:M22"/>
    <mergeCell ref="N17:N19"/>
    <mergeCell ref="O17:O19"/>
    <mergeCell ref="P17:P19"/>
    <mergeCell ref="F18:G18"/>
    <mergeCell ref="N20:N22"/>
    <mergeCell ref="O20:O22"/>
    <mergeCell ref="A17:A19"/>
    <mergeCell ref="B17:B18"/>
    <mergeCell ref="D17:D18"/>
    <mergeCell ref="I17:I19"/>
    <mergeCell ref="J17:J19"/>
    <mergeCell ref="K17:K19"/>
    <mergeCell ref="B19:D19"/>
    <mergeCell ref="E19:G19"/>
    <mergeCell ref="B14:C14"/>
    <mergeCell ref="C17:C18"/>
    <mergeCell ref="AM13:AR13"/>
    <mergeCell ref="A14:A16"/>
    <mergeCell ref="D14:D15"/>
    <mergeCell ref="I14:I16"/>
    <mergeCell ref="J14:J16"/>
    <mergeCell ref="K14:K16"/>
    <mergeCell ref="L14:L16"/>
    <mergeCell ref="M14:M16"/>
    <mergeCell ref="N14:N16"/>
    <mergeCell ref="O14:O16"/>
    <mergeCell ref="P14:P16"/>
    <mergeCell ref="F15:G15"/>
    <mergeCell ref="B16:D16"/>
    <mergeCell ref="E16:G16"/>
    <mergeCell ref="M10:O11"/>
    <mergeCell ref="B11:E11"/>
    <mergeCell ref="F11:H11"/>
    <mergeCell ref="I13:L13"/>
    <mergeCell ref="M13:P13"/>
    <mergeCell ref="AG13:AK13"/>
    <mergeCell ref="B8:E8"/>
    <mergeCell ref="F8:H8"/>
    <mergeCell ref="N8:O8"/>
    <mergeCell ref="B9:E9"/>
    <mergeCell ref="F9:H9"/>
    <mergeCell ref="K9:K11"/>
    <mergeCell ref="M9:O9"/>
    <mergeCell ref="B10:E10"/>
    <mergeCell ref="F10:H10"/>
    <mergeCell ref="L10:L11"/>
    <mergeCell ref="B7:E7"/>
    <mergeCell ref="F7:H7"/>
    <mergeCell ref="K7:L7"/>
    <mergeCell ref="N7:O7"/>
    <mergeCell ref="B4:E4"/>
    <mergeCell ref="F4:H4"/>
    <mergeCell ref="N4:O4"/>
    <mergeCell ref="B5:E5"/>
    <mergeCell ref="F5:H5"/>
    <mergeCell ref="N5:O5"/>
    <mergeCell ref="D1:L1"/>
    <mergeCell ref="B2:E2"/>
    <mergeCell ref="F2:H2"/>
    <mergeCell ref="K2:L2"/>
    <mergeCell ref="N2:O2"/>
    <mergeCell ref="B3:E3"/>
    <mergeCell ref="F3:H3"/>
    <mergeCell ref="N3:O3"/>
    <mergeCell ref="B6:E6"/>
    <mergeCell ref="F6:H6"/>
    <mergeCell ref="N6:O6"/>
  </mergeCells>
  <phoneticPr fontId="1"/>
  <conditionalFormatting sqref="P20 P23 P26 P29 P38 P41 P50 P53 P62 P65 P74 P77 P86 P89 P98 P101 P110 P113 P119 P122 P125 P32 P35 P44 P47 P56 P59 P68 P71 P80 P83 P92 P95 P104 P107 P116 P128 P131 P134 P137 L17:L139">
    <cfRule type="cellIs" dxfId="7" priority="5" stopIfTrue="1" operator="greaterThan">
      <formula>"-"</formula>
    </cfRule>
  </conditionalFormatting>
  <conditionalFormatting sqref="H116 H20 H23 H119 H122 H125 H26 H29 H32 H35 H38 H41 H44 H47 H50 H53 H56 H59 H62 H65 H68 H71 H74 H77 H80 H83 H86 H89 H92 H95 H98 H101 H104 H107 H110 H113 H128 H131 H134 H137 H17">
    <cfRule type="cellIs" dxfId="6" priority="6" stopIfTrue="1" operator="notEqual">
      <formula>"-"</formula>
    </cfRule>
  </conditionalFormatting>
  <conditionalFormatting sqref="F5">
    <cfRule type="containsBlanks" dxfId="5" priority="7" stopIfTrue="1">
      <formula>LEN(TRIM(F5))=0</formula>
    </cfRule>
  </conditionalFormatting>
  <conditionalFormatting sqref="F6:H6">
    <cfRule type="containsBlanks" dxfId="4" priority="4" stopIfTrue="1">
      <formula>LEN(TRIM(F6))=0</formula>
    </cfRule>
  </conditionalFormatting>
  <conditionalFormatting sqref="F7:H7">
    <cfRule type="containsBlanks" dxfId="3" priority="3" stopIfTrue="1">
      <formula>LEN(TRIM(F7))=0</formula>
    </cfRule>
  </conditionalFormatting>
  <conditionalFormatting sqref="F8:H8">
    <cfRule type="containsBlanks" dxfId="2" priority="2" stopIfTrue="1">
      <formula>LEN(TRIM(F8))=0</formula>
    </cfRule>
  </conditionalFormatting>
  <conditionalFormatting sqref="P17:P19">
    <cfRule type="cellIs" dxfId="1" priority="1" stopIfTrue="1" operator="greaterThan">
      <formula>"-"</formula>
    </cfRule>
  </conditionalFormatting>
  <dataValidations count="8">
    <dataValidation type="date" allowBlank="1" showInputMessage="1" showErrorMessage="1" sqref="F2:H2">
      <formula1>AM4</formula1>
      <formula2>AM5</formula2>
    </dataValidation>
    <dataValidation type="list" imeMode="off" allowBlank="1" showInputMessage="1" showErrorMessage="1" sqref="E19:G19 E25:G25 E31:G31 E37:G37 E136:G136 E43:G43 E49:G49 E55:G55 E61:G61 E67:G67 E73:G73 E79:G79 E85:G85 E91:G91 E97:G97 E103:G103 E109:G109 E115:G115 E121:G121 E127:G127 E133:G133 E22:G22 E28:G28 E34:G34 E40:G40 E46:G46 E52:G52 E58:G58 E64:G64 E70:G70 E76:G76 E82:G82 E88:G88 E94:G94 E100:G100 E106:G106 E112:G112 E118:G118 E124:G124 E130:G130 E139:G139">
      <formula1>$AY$16:$AY$21</formula1>
    </dataValidation>
    <dataValidation type="list" imeMode="hiragana" allowBlank="1" showInputMessage="1" showErrorMessage="1" sqref="I17:I139 M17:M139">
      <formula1>$BC$16:$BC$21</formula1>
    </dataValidation>
    <dataValidation type="list" imeMode="off" allowBlank="1" showInputMessage="1" showErrorMessage="1" sqref="J17:J139 N17:N139">
      <formula1>$BD$16:$BD$19</formula1>
    </dataValidation>
    <dataValidation type="list" imeMode="on" allowBlank="1" showInputMessage="1" showErrorMessage="1" sqref="E17 E20 E23 E116 E119 E122 E125 E26 E29 E32 E35 E38 E41 E44 E47 E50 E53 E56 E59 E62 E65 E68 E71 E74 E77 E80 E83 E86 E89 E92 E95 E98 E101 E104 E107 E110 E113 E128 E131 E134 E137">
      <formula1>$AX$16:$AX$18</formula1>
    </dataValidation>
    <dataValidation imeMode="on" allowBlank="1" showInputMessage="1" showErrorMessage="1" sqref="G14 G116 G125 G122 G119 G104 G113 G110 G107 G92 G101 G98 G95 G80 G89 G86 G83 G68 G77 G74 G71 G56 G65 G62 G59 G44 G53 G50 G47 G32 G41 G38 G35 G20 G17 G29 G26 AZ14:AZ482 BA74:BA138 G23 D14:E14 G128 G137 G134 G131"/>
    <dataValidation imeMode="hiragana" allowBlank="1" showInputMessage="1" showErrorMessage="1" sqref="AM2:AQ2 C136:C137 F117:G117 F108:G108 F138:G138 F105:G105 F96:G96 F111:G111 F93:G93 F84:G84 F99:G99 F81:G81 F72:G72 F87:G87 F69:G69 F60:G60 F75:G75 J140:J65536 F57:G57 F48:G48 F63:G63 F45:G45 F135:G135 F51:G51 F33:G33 F30:G30 F39:G39 F114:G114 F24:G24 F27:G27 F21:G21 F18:G18 G12:G13 B16:C16 M10:O11 M13:M16 I13:I14 J12 S12 Q13:S16 C139 F132:G132 F123:G123 B140:G65536 E12:E13 F36:G36 F42:G42 F54:G54 F66:G66 F78:G78 F90:G90 F102:G102 F126:G126 F129:G129 F120:G120 F3:H4 F6:H7 F12:F14 C19:C20 C2:D13 B2:B14 C17 C22:C23 C25:C26 C28:C29 C37:C38 C31:C32 C34:C35 C40:C41 C49:C50 C43:C44 C46:C47 C52:C53 C61:C62 C55:C56 C58:C59 C64:C65 C73:C74 C67:C68 C70:C71 C76:C77 C85:C86 C79:C80 C82:C83 C88:C89 C97:C98 C91:C92 C94:C95 C100:C101 C109:C110 C103:C104 C106:C107 C112:C113 C121:C122 C115:C116 C118:C119 C124:C125 C133:C134 C127:C128 C130:C131 D17:D139 B17:B139 AN15:AQ15 AM14 T16:AL16 BW2:BX5 BX1 T14:V15 U13:AU13 X14:AF14 AI14 Y15:AL15 BW25:BW28 BW21:BX21 AR14:AS14 AP14 BW32:BW37 BW7:BX12 BW14:BW17 BW23 BX23:BX28 BX13:BX17"/>
    <dataValidation imeMode="off" allowBlank="1" showInputMessage="1" showErrorMessage="1" sqref="AT14:AU16 L14:L16 E102 F110 E90 F98 E78 F86 E66 F74 E114 F122 AX14:AX19 F107 I12 F95 M1 F83 E33 F71 O17:O139 F41 F137 F119 E45 E84 F53 F92 E120 E108 AN16:AQ16 F116 E57 F65 E72 K12:K139 F80 E126 E96 F104 E69 E60 F77 F68 F134 E111 E99 A140:A65536 I2:J11 E54 E42 F50 E36 F38 J13:J16 F125 E87 F62 E81 F89 E21 F47 L12:M12 F128 E75 E135 K140:M65536 E93 F8:H11 F59 F35 F101 F131 E30 F32 E105 E63 E48 F56 F29 F113 E123 E24 F26 E117 E51 F44 E129 A1:A17 AV14:AW20 E39 E27 F23 A23 E18 F20 A20 E132 AY14:AY20 F17 I140:I65536 P14:P16 N13:O16 A29 A35 A41 A47 A53 A59 A65 A71 A77 A83 A89 A95 A101 A107 A113 A119 A125 A131 A137 A26 A32 A38 A44 A50 A56 A62 A68 A74 A80 A86 A92 A98 A104 A110 A116 A122 A128 A134 F5:H5 E138 H17:H139 AM15:AM16 AR15:AS16 BX20 BX18 BX29"/>
  </dataValidations>
  <printOptions horizontalCentered="1" gridLines="1"/>
  <pageMargins left="0.39370078740157483" right="0.39370078740157483" top="0.59055118110236227" bottom="0.59055118110236227" header="0.51181102362204722" footer="0.11811023622047245"/>
  <pageSetup paperSize="9" scale="90" fitToHeight="7" orientation="landscape" horizontalDpi="4294967294" verticalDpi="4294967294" r:id="rId1"/>
  <headerFooter alignWithMargins="0">
    <oddFooter>&amp;L&amp;F</oddFooter>
  </headerFooter>
  <rowBreaks count="3" manualBreakCount="3">
    <brk id="37" max="15" man="1"/>
    <brk id="76" max="15" man="1"/>
    <brk id="115" max="1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2:AU60"/>
  <sheetViews>
    <sheetView workbookViewId="0">
      <selection activeCell="B9" sqref="B9"/>
    </sheetView>
  </sheetViews>
  <sheetFormatPr defaultRowHeight="12.75" x14ac:dyDescent="0.25"/>
  <cols>
    <col min="1" max="1" width="5.59765625" customWidth="1"/>
    <col min="2" max="2" width="12.86328125" customWidth="1"/>
    <col min="3" max="3" width="10.1328125" customWidth="1"/>
    <col min="4" max="4" width="8.73046875" customWidth="1"/>
    <col min="5" max="5" width="7.1328125" customWidth="1"/>
    <col min="6" max="10" width="11.73046875" customWidth="1"/>
    <col min="11" max="11" width="5.59765625" customWidth="1"/>
    <col min="12" max="12" width="10.1328125" customWidth="1"/>
    <col min="13" max="15" width="6.3984375" customWidth="1"/>
    <col min="16" max="16" width="6.3984375" hidden="1" customWidth="1"/>
    <col min="17" max="25" width="4.3984375" hidden="1" customWidth="1"/>
    <col min="26" max="26" width="4.265625" hidden="1" customWidth="1"/>
    <col min="27" max="27" width="4.3984375" hidden="1" customWidth="1"/>
    <col min="28" max="28" width="4.59765625" hidden="1" customWidth="1"/>
    <col min="29" max="29" width="11.73046875" hidden="1" customWidth="1"/>
    <col min="30" max="30" width="8.46484375" hidden="1" customWidth="1"/>
    <col min="31" max="31" width="10.46484375" hidden="1" customWidth="1"/>
    <col min="32" max="32" width="11.73046875" hidden="1" customWidth="1"/>
    <col min="33" max="34" width="9.73046875" hidden="1" customWidth="1"/>
    <col min="35" max="35" width="10.1328125" hidden="1" customWidth="1"/>
    <col min="36" max="38" width="3.86328125" hidden="1" customWidth="1"/>
    <col min="39" max="39" width="0" hidden="1" customWidth="1"/>
    <col min="40" max="40" width="8.86328125" hidden="1" customWidth="1"/>
    <col min="41" max="41" width="6.46484375" hidden="1" customWidth="1"/>
    <col min="42" max="46" width="10.59765625" hidden="1" customWidth="1"/>
    <col min="47" max="51" width="0" hidden="1" customWidth="1"/>
  </cols>
  <sheetData>
    <row r="2" spans="1:47" x14ac:dyDescent="0.25">
      <c r="H2" s="1"/>
      <c r="I2" s="2" t="s">
        <v>9</v>
      </c>
      <c r="J2" s="5" t="s">
        <v>37</v>
      </c>
      <c r="K2" s="18"/>
      <c r="L2" s="18"/>
      <c r="M2" s="18"/>
    </row>
    <row r="3" spans="1:47" ht="16.5" thickBot="1" x14ac:dyDescent="0.35">
      <c r="B3" s="288">
        <f>個人種目申込書!F4</f>
        <v>0</v>
      </c>
      <c r="C3" s="288"/>
      <c r="D3" s="22" t="s">
        <v>36</v>
      </c>
      <c r="E3" s="67"/>
      <c r="H3" s="14" t="s">
        <v>14</v>
      </c>
      <c r="I3" s="16">
        <f>SUMPRODUCT(($C$9:$C$38="男子")*($D$9:$D$38="フリー"))</f>
        <v>0</v>
      </c>
      <c r="J3" s="17">
        <f>SUMPRODUCT(($C$9:$C$38="男子")*($D$9:$D$38="メドレー"))</f>
        <v>0</v>
      </c>
      <c r="K3" s="24"/>
      <c r="L3" s="24"/>
      <c r="M3" s="24"/>
      <c r="O3" s="66"/>
    </row>
    <row r="4" spans="1:47" ht="13.15" thickTop="1" x14ac:dyDescent="0.25">
      <c r="H4" s="1" t="s">
        <v>15</v>
      </c>
      <c r="I4" s="16">
        <f>SUMPRODUCT(($C$9:$C$38="女子")*($D$9:$D$38="フリー"))</f>
        <v>0</v>
      </c>
      <c r="J4" s="17">
        <f>SUMPRODUCT(($C$9:$C$38="女子")*($D$9:$D$38="メドレー"))</f>
        <v>0</v>
      </c>
      <c r="K4" s="24"/>
      <c r="L4" s="24"/>
      <c r="M4" s="24"/>
    </row>
    <row r="5" spans="1:47" x14ac:dyDescent="0.25">
      <c r="H5" s="1" t="s">
        <v>35</v>
      </c>
      <c r="I5" s="16">
        <f>SUMPRODUCT(($C$9:$C$38="混合")*($D$9:$D$38="フリー"))</f>
        <v>0</v>
      </c>
      <c r="J5" s="17">
        <f>SUMPRODUCT(($C$9:$C$38="混合")*($D$9:$D$38="メドレー"))</f>
        <v>0</v>
      </c>
      <c r="K5" s="24"/>
      <c r="L5" s="24"/>
      <c r="M5" s="24"/>
    </row>
    <row r="7" spans="1:47" ht="6" customHeight="1" x14ac:dyDescent="0.25">
      <c r="M7" s="18"/>
      <c r="N7" s="18"/>
      <c r="O7" s="18"/>
      <c r="P7" s="18"/>
      <c r="T7" s="18"/>
      <c r="X7" s="18"/>
      <c r="Y7" s="18"/>
      <c r="Z7" s="289"/>
      <c r="AA7" s="289"/>
      <c r="AB7" s="18"/>
      <c r="AC7" s="18"/>
      <c r="AD7" s="18"/>
      <c r="AE7" s="18"/>
      <c r="AF7" s="18"/>
      <c r="AG7" s="18"/>
      <c r="AH7" s="18"/>
      <c r="AI7" s="9"/>
    </row>
    <row r="8" spans="1:47" ht="26.25" customHeight="1" x14ac:dyDescent="0.25">
      <c r="A8" s="11" t="s">
        <v>23</v>
      </c>
      <c r="B8" s="23" t="s">
        <v>38</v>
      </c>
      <c r="C8" s="2" t="s">
        <v>11</v>
      </c>
      <c r="D8" s="2" t="s">
        <v>31</v>
      </c>
      <c r="E8" s="2" t="s">
        <v>3</v>
      </c>
      <c r="F8" s="2" t="s">
        <v>32</v>
      </c>
      <c r="G8" s="2" t="s">
        <v>40</v>
      </c>
      <c r="H8" s="2" t="s">
        <v>43</v>
      </c>
      <c r="I8" s="2" t="s">
        <v>41</v>
      </c>
      <c r="J8" s="2" t="s">
        <v>42</v>
      </c>
      <c r="K8" s="23" t="s">
        <v>78</v>
      </c>
      <c r="L8" s="5" t="s">
        <v>16</v>
      </c>
      <c r="M8" s="2" t="s">
        <v>39</v>
      </c>
      <c r="N8" s="61"/>
      <c r="O8" s="18"/>
      <c r="P8" s="62"/>
      <c r="Q8" s="158" t="s">
        <v>11</v>
      </c>
      <c r="R8" s="180"/>
      <c r="S8" s="180"/>
      <c r="T8" s="159"/>
      <c r="U8" s="158" t="s">
        <v>44</v>
      </c>
      <c r="V8" s="180"/>
      <c r="W8" s="180"/>
      <c r="X8" s="159"/>
      <c r="Y8" s="5" t="s">
        <v>71</v>
      </c>
      <c r="Z8" s="2" t="s">
        <v>79</v>
      </c>
      <c r="AA8" s="2" t="s">
        <v>80</v>
      </c>
      <c r="AB8" s="2" t="s">
        <v>81</v>
      </c>
      <c r="AC8" s="2" t="s">
        <v>82</v>
      </c>
      <c r="AD8" s="2" t="s">
        <v>83</v>
      </c>
      <c r="AE8" s="2" t="s">
        <v>84</v>
      </c>
      <c r="AF8" s="18"/>
      <c r="AG8" s="18"/>
      <c r="AH8" s="18"/>
      <c r="AI8" s="9"/>
    </row>
    <row r="9" spans="1:47" x14ac:dyDescent="0.25">
      <c r="A9" s="1">
        <v>1</v>
      </c>
      <c r="B9" s="12"/>
      <c r="C9" s="13"/>
      <c r="D9" s="6"/>
      <c r="E9" s="31"/>
      <c r="F9" s="20"/>
      <c r="G9" s="13"/>
      <c r="H9" s="13"/>
      <c r="I9" s="13"/>
      <c r="J9" s="13"/>
      <c r="K9" s="68">
        <f>Y9</f>
        <v>0</v>
      </c>
      <c r="L9" s="21" t="str">
        <f t="shared" ref="L9:L37" si="0">IF(ISERROR(AF9),"",AF9)</f>
        <v/>
      </c>
      <c r="M9" s="69" t="str">
        <f>IF(COUNTIF(AB9:AE9,"ng")&gt;0,"NG","-")</f>
        <v>-</v>
      </c>
      <c r="N9" s="63"/>
      <c r="O9" s="64"/>
      <c r="P9" s="65"/>
      <c r="Q9" s="7" t="str">
        <f t="shared" ref="Q9:Q14" si="1">IF(ISERROR(VLOOKUP(G9,$AI$9:$AK$48,2,0)),"",VLOOKUP(G9,$AI$9:$AK$48,2,0))</f>
        <v/>
      </c>
      <c r="R9" s="7" t="str">
        <f t="shared" ref="R9:R14" si="2">IF(ISERROR(VLOOKUP(H9,$AI$9:$AK$48,2,0)),"",VLOOKUP(H9,$AI$9:$AK$48,2,0))</f>
        <v/>
      </c>
      <c r="S9" s="7" t="str">
        <f t="shared" ref="S9:S14" si="3">IF(ISERROR(VLOOKUP(I9,$AI$9:$AK$48,2,0)),"",VLOOKUP(I9,$AI$9:$AK$48,2,0))</f>
        <v/>
      </c>
      <c r="T9" s="7" t="str">
        <f t="shared" ref="T9:T14" si="4">IF(ISERROR(VLOOKUP(J9,$AI$9:$AK$48,2,0)),"",VLOOKUP(J9,$AI$9:$AK$48,2,0))</f>
        <v/>
      </c>
      <c r="U9" s="7" t="str">
        <f t="shared" ref="U9:X11" si="5">IF(ISERROR(VLOOKUP(G9,$AI$9:$AK$48,3,0)),"",VLOOKUP(G9,$AI$9:$AK$48,3,0))</f>
        <v/>
      </c>
      <c r="V9" s="7" t="str">
        <f t="shared" si="5"/>
        <v/>
      </c>
      <c r="W9" s="7" t="str">
        <f t="shared" si="5"/>
        <v/>
      </c>
      <c r="X9" s="7" t="str">
        <f t="shared" si="5"/>
        <v/>
      </c>
      <c r="Y9" s="7">
        <f>SUM(U9:X9)</f>
        <v>0</v>
      </c>
      <c r="Z9" s="13">
        <f>COUNTIF(Q9:T9,"男")</f>
        <v>0</v>
      </c>
      <c r="AA9" s="13">
        <f>COUNTIF(Q9:T9,"女")</f>
        <v>0</v>
      </c>
      <c r="AB9" s="13" t="str">
        <f>IF(B9="","-",IF(F9="","NG","-"))</f>
        <v>-</v>
      </c>
      <c r="AC9" s="13" t="str">
        <f>IF(D9="メドレー",IF(C9="混合",IF(E9=100,IF(K9&gt;=200,"-","NG"),"-"),"NG"),"-")</f>
        <v>-</v>
      </c>
      <c r="AD9" s="13" t="str">
        <f>IF(D9="フリー",IF(E9&lt;&gt;200,"NG","-"),"-")</f>
        <v>-</v>
      </c>
      <c r="AE9" s="13" t="str">
        <f t="shared" ref="AE9:AE37" si="6">IF(C9="混合",IF(Z9=2,IF(AA9=2,"-","NG"),"NG"),IF(C9="男子",IF(Z9=4,"-","NG"),IF(C9="女子",IF(AA9=4,"-","NG"),"-")))</f>
        <v>-</v>
      </c>
      <c r="AF9" s="21" t="str">
        <f>IF(D9&lt;&gt;"",IF(D9="フリー",VLOOKUP(K9,$AS$9:$AT$12,2),IF(E9=200,VLOOKUP(K9,$AO$9:$AP$15,2),VLOOKUP(K9,$AQ$9:$AR$10,2))),"")</f>
        <v/>
      </c>
      <c r="AG9" s="19"/>
      <c r="AH9" s="19">
        <v>1</v>
      </c>
      <c r="AI9" s="10" t="str">
        <f>IF(ISNONTEXT(個人種目申込書!B$20),"",個人種目申込書!B$20&amp;" "&amp;個人種目申込書!C$20)</f>
        <v/>
      </c>
      <c r="AJ9" s="10">
        <f>個人種目申込書!E$20</f>
        <v>0</v>
      </c>
      <c r="AK9" s="111" t="str">
        <f>個人種目申込書!G$20</f>
        <v/>
      </c>
      <c r="AL9" s="10"/>
      <c r="AM9" t="s">
        <v>14</v>
      </c>
      <c r="AN9" t="s">
        <v>33</v>
      </c>
      <c r="AO9">
        <v>1</v>
      </c>
      <c r="AP9" t="s">
        <v>72</v>
      </c>
      <c r="AQ9">
        <v>1</v>
      </c>
      <c r="AR9" t="s">
        <v>85</v>
      </c>
      <c r="AS9">
        <v>1</v>
      </c>
      <c r="AT9" t="s">
        <v>85</v>
      </c>
      <c r="AU9">
        <v>100</v>
      </c>
    </row>
    <row r="10" spans="1:47" x14ac:dyDescent="0.25">
      <c r="A10" s="1">
        <v>2</v>
      </c>
      <c r="B10" s="12"/>
      <c r="C10" s="13"/>
      <c r="D10" s="6"/>
      <c r="E10" s="31"/>
      <c r="F10" s="20"/>
      <c r="G10" s="13"/>
      <c r="H10" s="13"/>
      <c r="I10" s="13"/>
      <c r="J10" s="13"/>
      <c r="K10" s="68">
        <f t="shared" ref="K10:K38" si="7">Y10</f>
        <v>0</v>
      </c>
      <c r="L10" s="21" t="str">
        <f t="shared" si="0"/>
        <v/>
      </c>
      <c r="M10" s="69" t="str">
        <f t="shared" ref="M10:M38" si="8">IF(COUNTIF(AB10:AE10,"ng")&gt;0,"NG","-")</f>
        <v>-</v>
      </c>
      <c r="N10" s="63"/>
      <c r="O10" s="64"/>
      <c r="P10" s="65"/>
      <c r="Q10" s="7" t="str">
        <f t="shared" si="1"/>
        <v/>
      </c>
      <c r="R10" s="7" t="str">
        <f t="shared" si="2"/>
        <v/>
      </c>
      <c r="S10" s="7" t="str">
        <f t="shared" si="3"/>
        <v/>
      </c>
      <c r="T10" s="7" t="str">
        <f t="shared" si="4"/>
        <v/>
      </c>
      <c r="U10" s="7" t="str">
        <f t="shared" si="5"/>
        <v/>
      </c>
      <c r="V10" s="7" t="str">
        <f t="shared" si="5"/>
        <v/>
      </c>
      <c r="W10" s="7" t="str">
        <f t="shared" si="5"/>
        <v/>
      </c>
      <c r="X10" s="7" t="str">
        <f t="shared" si="5"/>
        <v/>
      </c>
      <c r="Y10" s="7">
        <f t="shared" ref="Y10:Y38" si="9">SUM(U10:X10)</f>
        <v>0</v>
      </c>
      <c r="Z10" s="13">
        <f t="shared" ref="Z10:Z38" si="10">COUNTIF(Q10:T10,"男")</f>
        <v>0</v>
      </c>
      <c r="AA10" s="13">
        <f t="shared" ref="AA10:AA38" si="11">COUNTIF(Q10:T10,"女")</f>
        <v>0</v>
      </c>
      <c r="AB10" s="13" t="str">
        <f t="shared" ref="AB10:AB38" si="12">IF(B10="","-",IF(F10="","NG","-"))</f>
        <v>-</v>
      </c>
      <c r="AC10" s="13" t="str">
        <f t="shared" ref="AC10:AC38" si="13">IF(D10="メドレー",IF(C10="混合",IF(E10=100,IF(K10&gt;=200,"-","NG"),"-"),"NG"),"-")</f>
        <v>-</v>
      </c>
      <c r="AD10" s="13" t="str">
        <f t="shared" ref="AD10:AD38" si="14">IF(D10="フリー",IF(E10&lt;&gt;200,"NG","-"),"-")</f>
        <v>-</v>
      </c>
      <c r="AE10" s="13" t="str">
        <f t="shared" si="6"/>
        <v>-</v>
      </c>
      <c r="AF10" s="21" t="str">
        <f t="shared" ref="AF10:AF38" si="15">IF(D10&lt;&gt;"",IF(D10="フリー",VLOOKUP(K10,$AS$9:$AT$12,2),IF(E10=200,VLOOKUP(K10,$AO$9:$AP$15,2),VLOOKUP(K10,$AQ$9:$AR$10,2))),"")</f>
        <v/>
      </c>
      <c r="AG10" s="19"/>
      <c r="AH10" s="19">
        <v>2</v>
      </c>
      <c r="AI10" s="10" t="str">
        <f>IF(ISNONTEXT(個人種目申込書!B$23),"",個人種目申込書!B$23&amp;" "&amp;個人種目申込書!C$23)</f>
        <v/>
      </c>
      <c r="AJ10" s="10">
        <f>個人種目申込書!E$23</f>
        <v>0</v>
      </c>
      <c r="AK10" s="111" t="str">
        <f>個人種目申込書!G$23</f>
        <v/>
      </c>
      <c r="AL10" s="10"/>
      <c r="AM10" t="s">
        <v>15</v>
      </c>
      <c r="AN10" t="s">
        <v>34</v>
      </c>
      <c r="AO10">
        <v>139</v>
      </c>
      <c r="AP10" t="s">
        <v>72</v>
      </c>
      <c r="AQ10">
        <v>200</v>
      </c>
      <c r="AR10" t="s">
        <v>74</v>
      </c>
      <c r="AS10">
        <v>100</v>
      </c>
      <c r="AT10" t="s">
        <v>75</v>
      </c>
      <c r="AU10">
        <v>200</v>
      </c>
    </row>
    <row r="11" spans="1:47" x14ac:dyDescent="0.25">
      <c r="A11" s="1">
        <v>3</v>
      </c>
      <c r="B11" s="12"/>
      <c r="C11" s="13"/>
      <c r="D11" s="6"/>
      <c r="E11" s="31"/>
      <c r="F11" s="20"/>
      <c r="G11" s="13"/>
      <c r="H11" s="13"/>
      <c r="I11" s="13"/>
      <c r="J11" s="13"/>
      <c r="K11" s="68">
        <f t="shared" si="7"/>
        <v>0</v>
      </c>
      <c r="L11" s="21" t="str">
        <f t="shared" si="0"/>
        <v/>
      </c>
      <c r="M11" s="69" t="str">
        <f t="shared" si="8"/>
        <v>-</v>
      </c>
      <c r="N11" s="63"/>
      <c r="O11" s="64"/>
      <c r="P11" s="65"/>
      <c r="Q11" s="7" t="str">
        <f t="shared" si="1"/>
        <v/>
      </c>
      <c r="R11" s="7" t="str">
        <f t="shared" si="2"/>
        <v/>
      </c>
      <c r="S11" s="7" t="str">
        <f t="shared" si="3"/>
        <v/>
      </c>
      <c r="T11" s="7" t="str">
        <f t="shared" si="4"/>
        <v/>
      </c>
      <c r="U11" s="7" t="str">
        <f t="shared" si="5"/>
        <v/>
      </c>
      <c r="V11" s="7" t="str">
        <f t="shared" si="5"/>
        <v/>
      </c>
      <c r="W11" s="7" t="str">
        <f t="shared" si="5"/>
        <v/>
      </c>
      <c r="X11" s="7" t="str">
        <f t="shared" si="5"/>
        <v/>
      </c>
      <c r="Y11" s="7">
        <f t="shared" si="9"/>
        <v>0</v>
      </c>
      <c r="Z11" s="13">
        <f t="shared" si="10"/>
        <v>0</v>
      </c>
      <c r="AA11" s="13">
        <f t="shared" si="11"/>
        <v>0</v>
      </c>
      <c r="AB11" s="13" t="str">
        <f t="shared" si="12"/>
        <v>-</v>
      </c>
      <c r="AC11" s="13" t="str">
        <f t="shared" si="13"/>
        <v>-</v>
      </c>
      <c r="AD11" s="13" t="str">
        <f t="shared" si="14"/>
        <v>-</v>
      </c>
      <c r="AE11" s="13" t="str">
        <f t="shared" si="6"/>
        <v>-</v>
      </c>
      <c r="AF11" s="21" t="str">
        <f t="shared" si="15"/>
        <v/>
      </c>
      <c r="AG11" s="19"/>
      <c r="AH11" s="19">
        <v>3</v>
      </c>
      <c r="AI11" s="10" t="str">
        <f>IF(ISNONTEXT(個人種目申込書!B$26),"",個人種目申込書!B$26&amp;" "&amp;個人種目申込書!C$26)</f>
        <v/>
      </c>
      <c r="AJ11" s="10">
        <f>個人種目申込書!E$26</f>
        <v>0</v>
      </c>
      <c r="AK11" s="111" t="str">
        <f>個人種目申込書!G$26</f>
        <v/>
      </c>
      <c r="AL11" s="10"/>
      <c r="AM11" t="s">
        <v>35</v>
      </c>
      <c r="AO11">
        <v>140</v>
      </c>
      <c r="AP11" t="s">
        <v>73</v>
      </c>
      <c r="AS11">
        <v>151</v>
      </c>
      <c r="AT11" t="s">
        <v>76</v>
      </c>
    </row>
    <row r="12" spans="1:47" x14ac:dyDescent="0.25">
      <c r="A12" s="1">
        <v>4</v>
      </c>
      <c r="B12" s="12"/>
      <c r="C12" s="13"/>
      <c r="D12" s="6"/>
      <c r="E12" s="31"/>
      <c r="F12" s="20"/>
      <c r="G12" s="13"/>
      <c r="H12" s="13"/>
      <c r="I12" s="13"/>
      <c r="J12" s="13"/>
      <c r="K12" s="68">
        <f t="shared" si="7"/>
        <v>0</v>
      </c>
      <c r="L12" s="21" t="str">
        <f t="shared" si="0"/>
        <v/>
      </c>
      <c r="M12" s="69" t="str">
        <f t="shared" si="8"/>
        <v>-</v>
      </c>
      <c r="N12" s="63"/>
      <c r="O12" s="64"/>
      <c r="P12" s="65"/>
      <c r="Q12" s="7" t="str">
        <f t="shared" si="1"/>
        <v/>
      </c>
      <c r="R12" s="7" t="str">
        <f t="shared" si="2"/>
        <v/>
      </c>
      <c r="S12" s="7" t="str">
        <f t="shared" si="3"/>
        <v/>
      </c>
      <c r="T12" s="7" t="str">
        <f t="shared" si="4"/>
        <v/>
      </c>
      <c r="U12" s="7" t="str">
        <f t="shared" ref="U12:U38" si="16">IF(ISERROR(VLOOKUP(G12,$AI$9:$AK$48,3,0)),"",VLOOKUP(G12,$AI$9:$AK$48,3,0))</f>
        <v/>
      </c>
      <c r="V12" s="7" t="str">
        <f t="shared" ref="V12:V38" si="17">IF(ISERROR(VLOOKUP(H12,$AI$9:$AK$48,3,0)),"",VLOOKUP(H12,$AI$9:$AK$48,3,0))</f>
        <v/>
      </c>
      <c r="W12" s="7" t="str">
        <f t="shared" ref="W12:W38" si="18">IF(ISERROR(VLOOKUP(I12,$AI$9:$AK$48,3,0)),"",VLOOKUP(I12,$AI$9:$AK$48,3,0))</f>
        <v/>
      </c>
      <c r="X12" s="7" t="str">
        <f t="shared" ref="X12:X38" si="19">IF(ISERROR(VLOOKUP(J12,$AI$9:$AK$48,3,0)),"",VLOOKUP(J12,$AI$9:$AK$48,3,0))</f>
        <v/>
      </c>
      <c r="Y12" s="7">
        <f t="shared" si="9"/>
        <v>0</v>
      </c>
      <c r="Z12" s="13">
        <f t="shared" si="10"/>
        <v>0</v>
      </c>
      <c r="AA12" s="13">
        <f t="shared" si="11"/>
        <v>0</v>
      </c>
      <c r="AB12" s="13" t="str">
        <f t="shared" si="12"/>
        <v>-</v>
      </c>
      <c r="AC12" s="13" t="str">
        <f t="shared" si="13"/>
        <v>-</v>
      </c>
      <c r="AD12" s="13" t="str">
        <f t="shared" si="14"/>
        <v>-</v>
      </c>
      <c r="AE12" s="13" t="str">
        <f t="shared" si="6"/>
        <v>-</v>
      </c>
      <c r="AF12" s="21" t="str">
        <f t="shared" si="15"/>
        <v/>
      </c>
      <c r="AG12" s="19"/>
      <c r="AH12" s="19">
        <v>4</v>
      </c>
      <c r="AI12" s="10" t="str">
        <f>IF(ISNONTEXT(個人種目申込書!B$29),"",個人種目申込書!B$29&amp;" "&amp;個人種目申込書!C$29)</f>
        <v/>
      </c>
      <c r="AJ12" s="10">
        <f>個人種目申込書!E$29</f>
        <v>0</v>
      </c>
      <c r="AK12" s="111" t="str">
        <f>個人種目申込書!G$29</f>
        <v/>
      </c>
      <c r="AL12" s="10"/>
      <c r="AS12">
        <v>201</v>
      </c>
      <c r="AT12" t="s">
        <v>77</v>
      </c>
    </row>
    <row r="13" spans="1:47" x14ac:dyDescent="0.25">
      <c r="A13" s="1">
        <v>5</v>
      </c>
      <c r="B13" s="12"/>
      <c r="C13" s="13"/>
      <c r="D13" s="6"/>
      <c r="E13" s="31"/>
      <c r="F13" s="20"/>
      <c r="G13" s="13"/>
      <c r="H13" s="13"/>
      <c r="I13" s="13"/>
      <c r="J13" s="13"/>
      <c r="K13" s="68">
        <f t="shared" si="7"/>
        <v>0</v>
      </c>
      <c r="L13" s="21" t="str">
        <f t="shared" si="0"/>
        <v/>
      </c>
      <c r="M13" s="69" t="str">
        <f t="shared" si="8"/>
        <v>-</v>
      </c>
      <c r="N13" s="63"/>
      <c r="O13" s="64"/>
      <c r="P13" s="65"/>
      <c r="Q13" s="7" t="str">
        <f t="shared" si="1"/>
        <v/>
      </c>
      <c r="R13" s="7" t="str">
        <f t="shared" si="2"/>
        <v/>
      </c>
      <c r="S13" s="7" t="str">
        <f t="shared" si="3"/>
        <v/>
      </c>
      <c r="T13" s="7" t="str">
        <f t="shared" si="4"/>
        <v/>
      </c>
      <c r="U13" s="7" t="str">
        <f t="shared" si="16"/>
        <v/>
      </c>
      <c r="V13" s="7" t="str">
        <f t="shared" si="17"/>
        <v/>
      </c>
      <c r="W13" s="7" t="str">
        <f t="shared" si="18"/>
        <v/>
      </c>
      <c r="X13" s="7" t="str">
        <f t="shared" si="19"/>
        <v/>
      </c>
      <c r="Y13" s="7">
        <f t="shared" si="9"/>
        <v>0</v>
      </c>
      <c r="Z13" s="13">
        <f t="shared" si="10"/>
        <v>0</v>
      </c>
      <c r="AA13" s="13">
        <f t="shared" si="11"/>
        <v>0</v>
      </c>
      <c r="AB13" s="13" t="str">
        <f t="shared" si="12"/>
        <v>-</v>
      </c>
      <c r="AC13" s="13" t="str">
        <f t="shared" si="13"/>
        <v>-</v>
      </c>
      <c r="AD13" s="13" t="str">
        <f t="shared" si="14"/>
        <v>-</v>
      </c>
      <c r="AE13" s="13" t="str">
        <f t="shared" si="6"/>
        <v>-</v>
      </c>
      <c r="AF13" s="21" t="str">
        <f t="shared" si="15"/>
        <v/>
      </c>
      <c r="AG13" s="19"/>
      <c r="AH13" s="19">
        <v>5</v>
      </c>
      <c r="AI13" s="10" t="str">
        <f>IF(ISNONTEXT(個人種目申込書!B$32),"",個人種目申込書!B$32&amp;" "&amp;個人種目申込書!C$32)</f>
        <v/>
      </c>
      <c r="AJ13" s="10">
        <f>個人種目申込書!E$32</f>
        <v>0</v>
      </c>
      <c r="AK13" s="111" t="str">
        <f>個人種目申込書!G$32</f>
        <v/>
      </c>
      <c r="AL13" s="10"/>
    </row>
    <row r="14" spans="1:47" x14ac:dyDescent="0.25">
      <c r="A14" s="1">
        <v>6</v>
      </c>
      <c r="B14" s="12"/>
      <c r="C14" s="13"/>
      <c r="D14" s="6"/>
      <c r="E14" s="31"/>
      <c r="F14" s="20"/>
      <c r="G14" s="13"/>
      <c r="H14" s="13"/>
      <c r="I14" s="13"/>
      <c r="J14" s="13"/>
      <c r="K14" s="68">
        <f t="shared" si="7"/>
        <v>0</v>
      </c>
      <c r="L14" s="21" t="str">
        <f t="shared" si="0"/>
        <v/>
      </c>
      <c r="M14" s="69" t="str">
        <f t="shared" si="8"/>
        <v>-</v>
      </c>
      <c r="N14" s="63"/>
      <c r="O14" s="64"/>
      <c r="P14" s="65"/>
      <c r="Q14" s="7" t="str">
        <f t="shared" si="1"/>
        <v/>
      </c>
      <c r="R14" s="7" t="str">
        <f t="shared" si="2"/>
        <v/>
      </c>
      <c r="S14" s="7" t="str">
        <f t="shared" si="3"/>
        <v/>
      </c>
      <c r="T14" s="7" t="str">
        <f t="shared" si="4"/>
        <v/>
      </c>
      <c r="U14" s="7" t="str">
        <f t="shared" si="16"/>
        <v/>
      </c>
      <c r="V14" s="7" t="str">
        <f t="shared" si="17"/>
        <v/>
      </c>
      <c r="W14" s="7" t="str">
        <f t="shared" si="18"/>
        <v/>
      </c>
      <c r="X14" s="7" t="str">
        <f t="shared" si="19"/>
        <v/>
      </c>
      <c r="Y14" s="7">
        <f t="shared" si="9"/>
        <v>0</v>
      </c>
      <c r="Z14" s="13">
        <f t="shared" si="10"/>
        <v>0</v>
      </c>
      <c r="AA14" s="13">
        <f t="shared" si="11"/>
        <v>0</v>
      </c>
      <c r="AB14" s="13" t="str">
        <f t="shared" si="12"/>
        <v>-</v>
      </c>
      <c r="AC14" s="13" t="str">
        <f t="shared" si="13"/>
        <v>-</v>
      </c>
      <c r="AD14" s="13" t="str">
        <f t="shared" si="14"/>
        <v>-</v>
      </c>
      <c r="AE14" s="13" t="str">
        <f t="shared" si="6"/>
        <v>-</v>
      </c>
      <c r="AF14" s="21" t="str">
        <f t="shared" si="15"/>
        <v/>
      </c>
      <c r="AG14" s="19"/>
      <c r="AH14" s="19">
        <v>6</v>
      </c>
      <c r="AI14" s="10" t="str">
        <f>IF(ISNONTEXT(個人種目申込書!B$35),"",個人種目申込書!B$35&amp;" "&amp;個人種目申込書!C$35)</f>
        <v/>
      </c>
      <c r="AJ14" s="10">
        <f>個人種目申込書!E$35</f>
        <v>0</v>
      </c>
      <c r="AK14" s="111" t="str">
        <f>個人種目申込書!G$35</f>
        <v/>
      </c>
      <c r="AL14" s="10"/>
    </row>
    <row r="15" spans="1:47" x14ac:dyDescent="0.25">
      <c r="A15" s="1">
        <v>7</v>
      </c>
      <c r="B15" s="12"/>
      <c r="C15" s="13"/>
      <c r="D15" s="6"/>
      <c r="E15" s="31"/>
      <c r="F15" s="20"/>
      <c r="G15" s="13"/>
      <c r="H15" s="13"/>
      <c r="I15" s="13"/>
      <c r="J15" s="13"/>
      <c r="K15" s="68">
        <f t="shared" si="7"/>
        <v>0</v>
      </c>
      <c r="L15" s="21" t="str">
        <f t="shared" si="0"/>
        <v/>
      </c>
      <c r="M15" s="69" t="str">
        <f t="shared" si="8"/>
        <v>-</v>
      </c>
      <c r="N15" s="63"/>
      <c r="O15" s="64"/>
      <c r="P15" s="65"/>
      <c r="Q15" s="7" t="str">
        <f>IF(ISERROR(VLOOKUP(G15,$AI$9:$AK$48,2,0)),"",VLOOKUP(G15,$AI$9:$AK$48,2,0))</f>
        <v/>
      </c>
      <c r="R15" s="7" t="str">
        <f>IF(ISERROR(VLOOKUP(H15,$AI$9:$AK$48,2,0)),"",VLOOKUP(H15,$AI$9:$AK$48,2,0))</f>
        <v/>
      </c>
      <c r="S15" s="7" t="str">
        <f>IF(ISERROR(VLOOKUP(I15,$AI$9:$AK$48,2,0)),"",VLOOKUP(I15,$AI$9:$AK$48,2,0))</f>
        <v/>
      </c>
      <c r="T15" s="7" t="str">
        <f>IF(ISERROR(VLOOKUP(J15,$AI$9:$AK$48,2,0)),"",VLOOKUP(J15,$AI$9:$AK$48,2,0))</f>
        <v/>
      </c>
      <c r="U15" s="7" t="str">
        <f t="shared" si="16"/>
        <v/>
      </c>
      <c r="V15" s="7" t="str">
        <f t="shared" si="17"/>
        <v/>
      </c>
      <c r="W15" s="7" t="str">
        <f t="shared" si="18"/>
        <v/>
      </c>
      <c r="X15" s="7" t="str">
        <f t="shared" si="19"/>
        <v/>
      </c>
      <c r="Y15" s="7">
        <f t="shared" si="9"/>
        <v>0</v>
      </c>
      <c r="Z15" s="13">
        <f t="shared" si="10"/>
        <v>0</v>
      </c>
      <c r="AA15" s="13">
        <f t="shared" si="11"/>
        <v>0</v>
      </c>
      <c r="AB15" s="13" t="str">
        <f t="shared" si="12"/>
        <v>-</v>
      </c>
      <c r="AC15" s="13" t="str">
        <f t="shared" si="13"/>
        <v>-</v>
      </c>
      <c r="AD15" s="13" t="str">
        <f t="shared" si="14"/>
        <v>-</v>
      </c>
      <c r="AE15" s="13" t="str">
        <f t="shared" si="6"/>
        <v>-</v>
      </c>
      <c r="AF15" s="21" t="str">
        <f t="shared" si="15"/>
        <v/>
      </c>
      <c r="AG15" s="19"/>
      <c r="AH15" s="19">
        <v>7</v>
      </c>
      <c r="AI15" s="10" t="str">
        <f>IF(ISNONTEXT(個人種目申込書!B$38),"",個人種目申込書!B$38&amp;" "&amp;個人種目申込書!C$38)</f>
        <v/>
      </c>
      <c r="AJ15" s="10">
        <f>個人種目申込書!E$38</f>
        <v>0</v>
      </c>
      <c r="AK15" s="111" t="str">
        <f>個人種目申込書!G$38</f>
        <v/>
      </c>
      <c r="AL15" s="10"/>
    </row>
    <row r="16" spans="1:47" x14ac:dyDescent="0.25">
      <c r="A16" s="1">
        <v>8</v>
      </c>
      <c r="B16" s="12"/>
      <c r="C16" s="13"/>
      <c r="D16" s="6"/>
      <c r="E16" s="31"/>
      <c r="F16" s="20"/>
      <c r="G16" s="13"/>
      <c r="H16" s="13"/>
      <c r="I16" s="13"/>
      <c r="J16" s="13"/>
      <c r="K16" s="68">
        <f t="shared" si="7"/>
        <v>0</v>
      </c>
      <c r="L16" s="21" t="str">
        <f t="shared" si="0"/>
        <v/>
      </c>
      <c r="M16" s="69" t="str">
        <f t="shared" si="8"/>
        <v>-</v>
      </c>
      <c r="N16" s="63"/>
      <c r="O16" s="64"/>
      <c r="P16" s="65"/>
      <c r="Q16" s="7" t="str">
        <f t="shared" ref="Q16:Q37" si="20">IF(ISERROR(VLOOKUP(G16,$AI$9:$AK$48,2,0)),"",VLOOKUP(G16,$AI$9:$AK$48,2,0))</f>
        <v/>
      </c>
      <c r="R16" s="7" t="str">
        <f t="shared" ref="R16:R38" si="21">IF(ISERROR(VLOOKUP(H16,$AI$9:$AK$48,2,0)),"",VLOOKUP(H16,$AI$9:$AK$48,2,0))</f>
        <v/>
      </c>
      <c r="S16" s="7" t="str">
        <f t="shared" ref="S16:S38" si="22">IF(ISERROR(VLOOKUP(I16,$AI$9:$AK$48,2,0)),"",VLOOKUP(I16,$AI$9:$AK$48,2,0))</f>
        <v/>
      </c>
      <c r="T16" s="7" t="str">
        <f t="shared" ref="T16:T38" si="23">IF(ISERROR(VLOOKUP(J16,$AI$9:$AK$48,2,0)),"",VLOOKUP(J16,$AI$9:$AK$48,2,0))</f>
        <v/>
      </c>
      <c r="U16" s="7" t="str">
        <f t="shared" si="16"/>
        <v/>
      </c>
      <c r="V16" s="7" t="str">
        <f t="shared" si="17"/>
        <v/>
      </c>
      <c r="W16" s="7" t="str">
        <f t="shared" si="18"/>
        <v/>
      </c>
      <c r="X16" s="7" t="str">
        <f t="shared" si="19"/>
        <v/>
      </c>
      <c r="Y16" s="7">
        <f t="shared" si="9"/>
        <v>0</v>
      </c>
      <c r="Z16" s="13">
        <f t="shared" si="10"/>
        <v>0</v>
      </c>
      <c r="AA16" s="13">
        <f t="shared" si="11"/>
        <v>0</v>
      </c>
      <c r="AB16" s="13" t="str">
        <f t="shared" si="12"/>
        <v>-</v>
      </c>
      <c r="AC16" s="13" t="str">
        <f t="shared" si="13"/>
        <v>-</v>
      </c>
      <c r="AD16" s="13" t="str">
        <f t="shared" si="14"/>
        <v>-</v>
      </c>
      <c r="AE16" s="13" t="str">
        <f t="shared" si="6"/>
        <v>-</v>
      </c>
      <c r="AF16" s="21" t="str">
        <f t="shared" si="15"/>
        <v/>
      </c>
      <c r="AG16" s="19"/>
      <c r="AH16" s="19">
        <v>8</v>
      </c>
      <c r="AI16" s="10" t="str">
        <f>IF(ISNONTEXT(個人種目申込書!B$41),"",個人種目申込書!B$41&amp;" "&amp;個人種目申込書!C$41)</f>
        <v/>
      </c>
      <c r="AJ16" s="10">
        <f>個人種目申込書!E$41</f>
        <v>0</v>
      </c>
      <c r="AK16" s="111" t="str">
        <f>個人種目申込書!G$41</f>
        <v/>
      </c>
      <c r="AL16" s="10"/>
    </row>
    <row r="17" spans="1:38" x14ac:dyDescent="0.25">
      <c r="A17" s="1">
        <v>9</v>
      </c>
      <c r="B17" s="12"/>
      <c r="C17" s="13"/>
      <c r="D17" s="6"/>
      <c r="E17" s="31"/>
      <c r="F17" s="20"/>
      <c r="G17" s="13"/>
      <c r="H17" s="13"/>
      <c r="I17" s="13"/>
      <c r="J17" s="13"/>
      <c r="K17" s="68">
        <f t="shared" si="7"/>
        <v>0</v>
      </c>
      <c r="L17" s="21" t="str">
        <f t="shared" si="0"/>
        <v/>
      </c>
      <c r="M17" s="69" t="str">
        <f t="shared" si="8"/>
        <v>-</v>
      </c>
      <c r="N17" s="63"/>
      <c r="O17" s="64"/>
      <c r="P17" s="65"/>
      <c r="Q17" s="7" t="str">
        <f t="shared" si="20"/>
        <v/>
      </c>
      <c r="R17" s="7" t="str">
        <f t="shared" si="21"/>
        <v/>
      </c>
      <c r="S17" s="7" t="str">
        <f t="shared" si="22"/>
        <v/>
      </c>
      <c r="T17" s="7" t="str">
        <f t="shared" si="23"/>
        <v/>
      </c>
      <c r="U17" s="7" t="str">
        <f t="shared" si="16"/>
        <v/>
      </c>
      <c r="V17" s="7" t="str">
        <f t="shared" si="17"/>
        <v/>
      </c>
      <c r="W17" s="7" t="str">
        <f t="shared" si="18"/>
        <v/>
      </c>
      <c r="X17" s="7" t="str">
        <f t="shared" si="19"/>
        <v/>
      </c>
      <c r="Y17" s="7">
        <f t="shared" si="9"/>
        <v>0</v>
      </c>
      <c r="Z17" s="13">
        <f t="shared" si="10"/>
        <v>0</v>
      </c>
      <c r="AA17" s="13">
        <f t="shared" si="11"/>
        <v>0</v>
      </c>
      <c r="AB17" s="13" t="str">
        <f t="shared" si="12"/>
        <v>-</v>
      </c>
      <c r="AC17" s="13" t="str">
        <f t="shared" si="13"/>
        <v>-</v>
      </c>
      <c r="AD17" s="13" t="str">
        <f t="shared" si="14"/>
        <v>-</v>
      </c>
      <c r="AE17" s="13" t="str">
        <f t="shared" si="6"/>
        <v>-</v>
      </c>
      <c r="AF17" s="21" t="str">
        <f t="shared" si="15"/>
        <v/>
      </c>
      <c r="AG17" s="19"/>
      <c r="AH17" s="19">
        <v>9</v>
      </c>
      <c r="AI17" s="10" t="str">
        <f>IF(ISNONTEXT(個人種目申込書!B$44),"",個人種目申込書!B$44&amp;" "&amp;個人種目申込書!C$44)</f>
        <v/>
      </c>
      <c r="AJ17" s="10">
        <f>個人種目申込書!E$44</f>
        <v>0</v>
      </c>
      <c r="AK17" s="111" t="str">
        <f>個人種目申込書!G$44</f>
        <v/>
      </c>
      <c r="AL17" s="10"/>
    </row>
    <row r="18" spans="1:38" x14ac:dyDescent="0.25">
      <c r="A18" s="1">
        <v>10</v>
      </c>
      <c r="B18" s="12"/>
      <c r="C18" s="13"/>
      <c r="D18" s="6"/>
      <c r="E18" s="31"/>
      <c r="F18" s="20"/>
      <c r="G18" s="13"/>
      <c r="H18" s="13"/>
      <c r="I18" s="13"/>
      <c r="J18" s="13"/>
      <c r="K18" s="68">
        <f t="shared" si="7"/>
        <v>0</v>
      </c>
      <c r="L18" s="21" t="str">
        <f t="shared" si="0"/>
        <v/>
      </c>
      <c r="M18" s="69" t="str">
        <f t="shared" si="8"/>
        <v>-</v>
      </c>
      <c r="N18" s="63"/>
      <c r="O18" s="64"/>
      <c r="P18" s="65"/>
      <c r="Q18" s="7" t="str">
        <f t="shared" si="20"/>
        <v/>
      </c>
      <c r="R18" s="7" t="str">
        <f t="shared" si="21"/>
        <v/>
      </c>
      <c r="S18" s="7" t="str">
        <f t="shared" si="22"/>
        <v/>
      </c>
      <c r="T18" s="7" t="str">
        <f t="shared" si="23"/>
        <v/>
      </c>
      <c r="U18" s="7" t="str">
        <f t="shared" si="16"/>
        <v/>
      </c>
      <c r="V18" s="7" t="str">
        <f t="shared" si="17"/>
        <v/>
      </c>
      <c r="W18" s="7" t="str">
        <f t="shared" si="18"/>
        <v/>
      </c>
      <c r="X18" s="7" t="str">
        <f t="shared" si="19"/>
        <v/>
      </c>
      <c r="Y18" s="7">
        <f t="shared" si="9"/>
        <v>0</v>
      </c>
      <c r="Z18" s="13">
        <f t="shared" si="10"/>
        <v>0</v>
      </c>
      <c r="AA18" s="13">
        <f t="shared" si="11"/>
        <v>0</v>
      </c>
      <c r="AB18" s="13" t="str">
        <f t="shared" si="12"/>
        <v>-</v>
      </c>
      <c r="AC18" s="13" t="str">
        <f t="shared" si="13"/>
        <v>-</v>
      </c>
      <c r="AD18" s="13" t="str">
        <f t="shared" si="14"/>
        <v>-</v>
      </c>
      <c r="AE18" s="13" t="str">
        <f t="shared" si="6"/>
        <v>-</v>
      </c>
      <c r="AF18" s="21" t="str">
        <f t="shared" si="15"/>
        <v/>
      </c>
      <c r="AG18" s="19"/>
      <c r="AH18" s="19">
        <v>10</v>
      </c>
      <c r="AI18" s="10" t="str">
        <f>IF(ISNONTEXT(個人種目申込書!B$47),"",個人種目申込書!B$47&amp;" "&amp;個人種目申込書!C$47)</f>
        <v/>
      </c>
      <c r="AJ18" s="10">
        <f>個人種目申込書!E$47</f>
        <v>0</v>
      </c>
      <c r="AK18" s="111" t="str">
        <f>個人種目申込書!G$47</f>
        <v/>
      </c>
      <c r="AL18" s="10"/>
    </row>
    <row r="19" spans="1:38" x14ac:dyDescent="0.25">
      <c r="A19" s="1">
        <v>11</v>
      </c>
      <c r="B19" s="12"/>
      <c r="C19" s="13"/>
      <c r="D19" s="6"/>
      <c r="E19" s="31"/>
      <c r="F19" s="20"/>
      <c r="G19" s="13"/>
      <c r="H19" s="13"/>
      <c r="I19" s="13"/>
      <c r="J19" s="13"/>
      <c r="K19" s="68">
        <f t="shared" si="7"/>
        <v>0</v>
      </c>
      <c r="L19" s="21" t="str">
        <f t="shared" si="0"/>
        <v/>
      </c>
      <c r="M19" s="69" t="str">
        <f t="shared" si="8"/>
        <v>-</v>
      </c>
      <c r="N19" s="63"/>
      <c r="O19" s="64"/>
      <c r="P19" s="65"/>
      <c r="Q19" s="7" t="str">
        <f t="shared" si="20"/>
        <v/>
      </c>
      <c r="R19" s="7" t="str">
        <f t="shared" si="21"/>
        <v/>
      </c>
      <c r="S19" s="7" t="str">
        <f t="shared" si="22"/>
        <v/>
      </c>
      <c r="T19" s="7" t="str">
        <f t="shared" si="23"/>
        <v/>
      </c>
      <c r="U19" s="7" t="str">
        <f t="shared" si="16"/>
        <v/>
      </c>
      <c r="V19" s="7" t="str">
        <f t="shared" si="17"/>
        <v/>
      </c>
      <c r="W19" s="7" t="str">
        <f t="shared" si="18"/>
        <v/>
      </c>
      <c r="X19" s="7" t="str">
        <f t="shared" si="19"/>
        <v/>
      </c>
      <c r="Y19" s="7">
        <f t="shared" si="9"/>
        <v>0</v>
      </c>
      <c r="Z19" s="13">
        <f t="shared" si="10"/>
        <v>0</v>
      </c>
      <c r="AA19" s="13">
        <f t="shared" si="11"/>
        <v>0</v>
      </c>
      <c r="AB19" s="13" t="str">
        <f t="shared" si="12"/>
        <v>-</v>
      </c>
      <c r="AC19" s="13" t="str">
        <f t="shared" si="13"/>
        <v>-</v>
      </c>
      <c r="AD19" s="13" t="str">
        <f t="shared" si="14"/>
        <v>-</v>
      </c>
      <c r="AE19" s="13" t="str">
        <f t="shared" si="6"/>
        <v>-</v>
      </c>
      <c r="AF19" s="21" t="str">
        <f t="shared" si="15"/>
        <v/>
      </c>
      <c r="AG19" s="19"/>
      <c r="AH19" s="19">
        <v>11</v>
      </c>
      <c r="AI19" s="10" t="str">
        <f>IF(ISNONTEXT(個人種目申込書!B$50),"",個人種目申込書!B$50&amp;" "&amp;個人種目申込書!C$50)</f>
        <v/>
      </c>
      <c r="AJ19" s="10">
        <f>個人種目申込書!E$50</f>
        <v>0</v>
      </c>
      <c r="AK19" s="111" t="str">
        <f>個人種目申込書!G$50</f>
        <v/>
      </c>
      <c r="AL19" s="10"/>
    </row>
    <row r="20" spans="1:38" x14ac:dyDescent="0.25">
      <c r="A20" s="1">
        <v>12</v>
      </c>
      <c r="B20" s="12"/>
      <c r="C20" s="13"/>
      <c r="D20" s="6"/>
      <c r="E20" s="31"/>
      <c r="F20" s="20"/>
      <c r="G20" s="13"/>
      <c r="H20" s="13"/>
      <c r="I20" s="13"/>
      <c r="J20" s="13"/>
      <c r="K20" s="68">
        <f t="shared" si="7"/>
        <v>0</v>
      </c>
      <c r="L20" s="21" t="str">
        <f t="shared" si="0"/>
        <v/>
      </c>
      <c r="M20" s="69" t="str">
        <f t="shared" si="8"/>
        <v>-</v>
      </c>
      <c r="N20" s="63"/>
      <c r="O20" s="64"/>
      <c r="P20" s="65"/>
      <c r="Q20" s="7" t="str">
        <f t="shared" si="20"/>
        <v/>
      </c>
      <c r="R20" s="7" t="str">
        <f t="shared" si="21"/>
        <v/>
      </c>
      <c r="S20" s="7" t="str">
        <f t="shared" si="22"/>
        <v/>
      </c>
      <c r="T20" s="7" t="str">
        <f t="shared" si="23"/>
        <v/>
      </c>
      <c r="U20" s="7" t="str">
        <f t="shared" si="16"/>
        <v/>
      </c>
      <c r="V20" s="7" t="str">
        <f t="shared" si="17"/>
        <v/>
      </c>
      <c r="W20" s="7" t="str">
        <f t="shared" si="18"/>
        <v/>
      </c>
      <c r="X20" s="7" t="str">
        <f t="shared" si="19"/>
        <v/>
      </c>
      <c r="Y20" s="7">
        <f t="shared" si="9"/>
        <v>0</v>
      </c>
      <c r="Z20" s="13">
        <f t="shared" si="10"/>
        <v>0</v>
      </c>
      <c r="AA20" s="13">
        <f t="shared" si="11"/>
        <v>0</v>
      </c>
      <c r="AB20" s="13" t="str">
        <f t="shared" si="12"/>
        <v>-</v>
      </c>
      <c r="AC20" s="13" t="str">
        <f t="shared" si="13"/>
        <v>-</v>
      </c>
      <c r="AD20" s="13" t="str">
        <f t="shared" si="14"/>
        <v>-</v>
      </c>
      <c r="AE20" s="13" t="str">
        <f t="shared" si="6"/>
        <v>-</v>
      </c>
      <c r="AF20" s="21" t="str">
        <f t="shared" si="15"/>
        <v/>
      </c>
      <c r="AG20" s="19"/>
      <c r="AH20" s="19">
        <v>12</v>
      </c>
      <c r="AI20" s="10" t="str">
        <f>IF(ISNONTEXT(個人種目申込書!B$53),"",個人種目申込書!B$53&amp;" "&amp;個人種目申込書!C$53)</f>
        <v/>
      </c>
      <c r="AJ20" s="10">
        <f>個人種目申込書!E$53</f>
        <v>0</v>
      </c>
      <c r="AK20" s="111" t="str">
        <f>個人種目申込書!G$53</f>
        <v/>
      </c>
      <c r="AL20" s="10"/>
    </row>
    <row r="21" spans="1:38" x14ac:dyDescent="0.25">
      <c r="A21" s="1">
        <v>13</v>
      </c>
      <c r="B21" s="12"/>
      <c r="C21" s="13"/>
      <c r="D21" s="6"/>
      <c r="E21" s="31"/>
      <c r="F21" s="20"/>
      <c r="G21" s="13"/>
      <c r="H21" s="13"/>
      <c r="I21" s="13"/>
      <c r="J21" s="13"/>
      <c r="K21" s="68">
        <f t="shared" si="7"/>
        <v>0</v>
      </c>
      <c r="L21" s="21" t="str">
        <f t="shared" si="0"/>
        <v/>
      </c>
      <c r="M21" s="69" t="str">
        <f t="shared" si="8"/>
        <v>-</v>
      </c>
      <c r="N21" s="63"/>
      <c r="O21" s="64"/>
      <c r="P21" s="65"/>
      <c r="Q21" s="7" t="str">
        <f t="shared" si="20"/>
        <v/>
      </c>
      <c r="R21" s="7" t="str">
        <f t="shared" si="21"/>
        <v/>
      </c>
      <c r="S21" s="7" t="str">
        <f t="shared" si="22"/>
        <v/>
      </c>
      <c r="T21" s="7" t="str">
        <f t="shared" si="23"/>
        <v/>
      </c>
      <c r="U21" s="7" t="str">
        <f t="shared" si="16"/>
        <v/>
      </c>
      <c r="V21" s="7" t="str">
        <f t="shared" si="17"/>
        <v/>
      </c>
      <c r="W21" s="7" t="str">
        <f t="shared" si="18"/>
        <v/>
      </c>
      <c r="X21" s="7" t="str">
        <f t="shared" si="19"/>
        <v/>
      </c>
      <c r="Y21" s="7">
        <f t="shared" si="9"/>
        <v>0</v>
      </c>
      <c r="Z21" s="13">
        <f t="shared" si="10"/>
        <v>0</v>
      </c>
      <c r="AA21" s="13">
        <f t="shared" si="11"/>
        <v>0</v>
      </c>
      <c r="AB21" s="13" t="str">
        <f t="shared" si="12"/>
        <v>-</v>
      </c>
      <c r="AC21" s="13" t="str">
        <f t="shared" si="13"/>
        <v>-</v>
      </c>
      <c r="AD21" s="13" t="str">
        <f t="shared" si="14"/>
        <v>-</v>
      </c>
      <c r="AE21" s="13" t="str">
        <f t="shared" si="6"/>
        <v>-</v>
      </c>
      <c r="AF21" s="21" t="str">
        <f t="shared" si="15"/>
        <v/>
      </c>
      <c r="AG21" s="19"/>
      <c r="AH21" s="19">
        <v>13</v>
      </c>
      <c r="AI21" s="10" t="str">
        <f>IF(ISNONTEXT(個人種目申込書!B$56),"",個人種目申込書!B$56&amp;" "&amp;個人種目申込書!C$56)</f>
        <v/>
      </c>
      <c r="AJ21" s="10">
        <f>個人種目申込書!E$56</f>
        <v>0</v>
      </c>
      <c r="AK21" s="111" t="str">
        <f>個人種目申込書!G$56</f>
        <v/>
      </c>
      <c r="AL21" s="10"/>
    </row>
    <row r="22" spans="1:38" x14ac:dyDescent="0.25">
      <c r="A22" s="1">
        <v>14</v>
      </c>
      <c r="B22" s="12"/>
      <c r="C22" s="13"/>
      <c r="D22" s="6"/>
      <c r="E22" s="31"/>
      <c r="F22" s="20"/>
      <c r="G22" s="13"/>
      <c r="H22" s="13"/>
      <c r="I22" s="13"/>
      <c r="J22" s="13"/>
      <c r="K22" s="68">
        <f t="shared" si="7"/>
        <v>0</v>
      </c>
      <c r="L22" s="21" t="str">
        <f t="shared" si="0"/>
        <v/>
      </c>
      <c r="M22" s="69" t="str">
        <f t="shared" si="8"/>
        <v>-</v>
      </c>
      <c r="N22" s="63"/>
      <c r="O22" s="64"/>
      <c r="P22" s="65"/>
      <c r="Q22" s="7" t="str">
        <f t="shared" si="20"/>
        <v/>
      </c>
      <c r="R22" s="7" t="str">
        <f t="shared" si="21"/>
        <v/>
      </c>
      <c r="S22" s="7" t="str">
        <f t="shared" si="22"/>
        <v/>
      </c>
      <c r="T22" s="7" t="str">
        <f t="shared" si="23"/>
        <v/>
      </c>
      <c r="U22" s="7" t="str">
        <f t="shared" si="16"/>
        <v/>
      </c>
      <c r="V22" s="7" t="str">
        <f t="shared" si="17"/>
        <v/>
      </c>
      <c r="W22" s="7" t="str">
        <f t="shared" si="18"/>
        <v/>
      </c>
      <c r="X22" s="7" t="str">
        <f t="shared" si="19"/>
        <v/>
      </c>
      <c r="Y22" s="7">
        <f t="shared" si="9"/>
        <v>0</v>
      </c>
      <c r="Z22" s="13">
        <f t="shared" si="10"/>
        <v>0</v>
      </c>
      <c r="AA22" s="13">
        <f t="shared" si="11"/>
        <v>0</v>
      </c>
      <c r="AB22" s="13" t="str">
        <f t="shared" si="12"/>
        <v>-</v>
      </c>
      <c r="AC22" s="13" t="str">
        <f t="shared" si="13"/>
        <v>-</v>
      </c>
      <c r="AD22" s="13" t="str">
        <f t="shared" si="14"/>
        <v>-</v>
      </c>
      <c r="AE22" s="13" t="str">
        <f t="shared" si="6"/>
        <v>-</v>
      </c>
      <c r="AF22" s="21" t="str">
        <f t="shared" si="15"/>
        <v/>
      </c>
      <c r="AG22" s="19"/>
      <c r="AH22" s="19">
        <v>14</v>
      </c>
      <c r="AI22" s="10" t="str">
        <f>IF(ISNONTEXT(個人種目申込書!B$59),"",個人種目申込書!B$59&amp;" "&amp;個人種目申込書!C$59)</f>
        <v/>
      </c>
      <c r="AJ22" s="10">
        <f>個人種目申込書!E$59</f>
        <v>0</v>
      </c>
      <c r="AK22" s="111" t="str">
        <f>個人種目申込書!G$59</f>
        <v/>
      </c>
      <c r="AL22" s="10"/>
    </row>
    <row r="23" spans="1:38" x14ac:dyDescent="0.25">
      <c r="A23" s="1">
        <v>15</v>
      </c>
      <c r="B23" s="12"/>
      <c r="C23" s="13"/>
      <c r="D23" s="6"/>
      <c r="E23" s="31"/>
      <c r="F23" s="20"/>
      <c r="G23" s="13"/>
      <c r="H23" s="13"/>
      <c r="I23" s="13"/>
      <c r="J23" s="13"/>
      <c r="K23" s="68">
        <f t="shared" si="7"/>
        <v>0</v>
      </c>
      <c r="L23" s="21" t="str">
        <f t="shared" si="0"/>
        <v/>
      </c>
      <c r="M23" s="69" t="str">
        <f t="shared" si="8"/>
        <v>-</v>
      </c>
      <c r="N23" s="63"/>
      <c r="O23" s="64"/>
      <c r="P23" s="65"/>
      <c r="Q23" s="7" t="str">
        <f t="shared" si="20"/>
        <v/>
      </c>
      <c r="R23" s="7" t="str">
        <f t="shared" si="21"/>
        <v/>
      </c>
      <c r="S23" s="7" t="str">
        <f t="shared" si="22"/>
        <v/>
      </c>
      <c r="T23" s="7" t="str">
        <f t="shared" si="23"/>
        <v/>
      </c>
      <c r="U23" s="7" t="str">
        <f t="shared" si="16"/>
        <v/>
      </c>
      <c r="V23" s="7" t="str">
        <f t="shared" si="17"/>
        <v/>
      </c>
      <c r="W23" s="7" t="str">
        <f t="shared" si="18"/>
        <v/>
      </c>
      <c r="X23" s="7" t="str">
        <f t="shared" si="19"/>
        <v/>
      </c>
      <c r="Y23" s="7">
        <f t="shared" si="9"/>
        <v>0</v>
      </c>
      <c r="Z23" s="13">
        <f t="shared" si="10"/>
        <v>0</v>
      </c>
      <c r="AA23" s="13">
        <f t="shared" si="11"/>
        <v>0</v>
      </c>
      <c r="AB23" s="13" t="str">
        <f t="shared" si="12"/>
        <v>-</v>
      </c>
      <c r="AC23" s="13" t="str">
        <f t="shared" si="13"/>
        <v>-</v>
      </c>
      <c r="AD23" s="13" t="str">
        <f t="shared" si="14"/>
        <v>-</v>
      </c>
      <c r="AE23" s="13" t="str">
        <f t="shared" si="6"/>
        <v>-</v>
      </c>
      <c r="AF23" s="21" t="str">
        <f t="shared" si="15"/>
        <v/>
      </c>
      <c r="AG23" s="19"/>
      <c r="AH23" s="19">
        <v>15</v>
      </c>
      <c r="AI23" s="10" t="str">
        <f>IF(ISNONTEXT(個人種目申込書!B$62),"",個人種目申込書!B$62&amp;" "&amp;個人種目申込書!C$62)</f>
        <v/>
      </c>
      <c r="AJ23" s="10">
        <f>個人種目申込書!E$62</f>
        <v>0</v>
      </c>
      <c r="AK23" s="111" t="str">
        <f>個人種目申込書!G$62</f>
        <v/>
      </c>
      <c r="AL23" s="10"/>
    </row>
    <row r="24" spans="1:38" x14ac:dyDescent="0.25">
      <c r="A24" s="1">
        <v>16</v>
      </c>
      <c r="B24" s="12"/>
      <c r="C24" s="13"/>
      <c r="D24" s="6"/>
      <c r="E24" s="31"/>
      <c r="F24" s="20"/>
      <c r="G24" s="13"/>
      <c r="H24" s="13"/>
      <c r="I24" s="13"/>
      <c r="J24" s="13"/>
      <c r="K24" s="68">
        <f t="shared" si="7"/>
        <v>0</v>
      </c>
      <c r="L24" s="21" t="str">
        <f t="shared" si="0"/>
        <v/>
      </c>
      <c r="M24" s="69" t="str">
        <f t="shared" si="8"/>
        <v>-</v>
      </c>
      <c r="N24" s="63"/>
      <c r="O24" s="64"/>
      <c r="P24" s="65"/>
      <c r="Q24" s="7" t="str">
        <f t="shared" si="20"/>
        <v/>
      </c>
      <c r="R24" s="7" t="str">
        <f t="shared" si="21"/>
        <v/>
      </c>
      <c r="S24" s="7" t="str">
        <f t="shared" si="22"/>
        <v/>
      </c>
      <c r="T24" s="7" t="str">
        <f t="shared" si="23"/>
        <v/>
      </c>
      <c r="U24" s="7" t="str">
        <f t="shared" si="16"/>
        <v/>
      </c>
      <c r="V24" s="7" t="str">
        <f t="shared" si="17"/>
        <v/>
      </c>
      <c r="W24" s="7" t="str">
        <f t="shared" si="18"/>
        <v/>
      </c>
      <c r="X24" s="7" t="str">
        <f t="shared" si="19"/>
        <v/>
      </c>
      <c r="Y24" s="7">
        <f t="shared" si="9"/>
        <v>0</v>
      </c>
      <c r="Z24" s="13">
        <f t="shared" si="10"/>
        <v>0</v>
      </c>
      <c r="AA24" s="13">
        <f t="shared" si="11"/>
        <v>0</v>
      </c>
      <c r="AB24" s="13" t="str">
        <f t="shared" si="12"/>
        <v>-</v>
      </c>
      <c r="AC24" s="13" t="str">
        <f t="shared" si="13"/>
        <v>-</v>
      </c>
      <c r="AD24" s="13" t="str">
        <f t="shared" si="14"/>
        <v>-</v>
      </c>
      <c r="AE24" s="13" t="str">
        <f t="shared" si="6"/>
        <v>-</v>
      </c>
      <c r="AF24" s="21" t="str">
        <f t="shared" si="15"/>
        <v/>
      </c>
      <c r="AG24" s="19"/>
      <c r="AH24" s="19">
        <v>16</v>
      </c>
      <c r="AI24" s="10" t="str">
        <f>IF(ISNONTEXT(個人種目申込書!B$65),"",個人種目申込書!B$65&amp;" "&amp;個人種目申込書!C$65)</f>
        <v/>
      </c>
      <c r="AJ24" s="10">
        <f>個人種目申込書!E$65</f>
        <v>0</v>
      </c>
      <c r="AK24" s="111" t="str">
        <f>個人種目申込書!G$65</f>
        <v/>
      </c>
      <c r="AL24" s="10"/>
    </row>
    <row r="25" spans="1:38" x14ac:dyDescent="0.25">
      <c r="A25" s="1">
        <v>17</v>
      </c>
      <c r="B25" s="12"/>
      <c r="C25" s="13"/>
      <c r="D25" s="6"/>
      <c r="E25" s="31"/>
      <c r="F25" s="20"/>
      <c r="G25" s="13"/>
      <c r="H25" s="13"/>
      <c r="I25" s="13"/>
      <c r="J25" s="13"/>
      <c r="K25" s="68">
        <f t="shared" si="7"/>
        <v>0</v>
      </c>
      <c r="L25" s="21" t="str">
        <f t="shared" si="0"/>
        <v/>
      </c>
      <c r="M25" s="69" t="str">
        <f t="shared" si="8"/>
        <v>-</v>
      </c>
      <c r="N25" s="63"/>
      <c r="O25" s="64"/>
      <c r="P25" s="65"/>
      <c r="Q25" s="7" t="str">
        <f t="shared" si="20"/>
        <v/>
      </c>
      <c r="R25" s="7" t="str">
        <f t="shared" si="21"/>
        <v/>
      </c>
      <c r="S25" s="7" t="str">
        <f t="shared" si="22"/>
        <v/>
      </c>
      <c r="T25" s="7" t="str">
        <f t="shared" si="23"/>
        <v/>
      </c>
      <c r="U25" s="7" t="str">
        <f t="shared" si="16"/>
        <v/>
      </c>
      <c r="V25" s="7" t="str">
        <f t="shared" si="17"/>
        <v/>
      </c>
      <c r="W25" s="7" t="str">
        <f t="shared" si="18"/>
        <v/>
      </c>
      <c r="X25" s="7" t="str">
        <f t="shared" si="19"/>
        <v/>
      </c>
      <c r="Y25" s="7">
        <f t="shared" si="9"/>
        <v>0</v>
      </c>
      <c r="Z25" s="13">
        <f t="shared" si="10"/>
        <v>0</v>
      </c>
      <c r="AA25" s="13">
        <f t="shared" si="11"/>
        <v>0</v>
      </c>
      <c r="AB25" s="13" t="str">
        <f t="shared" si="12"/>
        <v>-</v>
      </c>
      <c r="AC25" s="13" t="str">
        <f t="shared" si="13"/>
        <v>-</v>
      </c>
      <c r="AD25" s="13" t="str">
        <f t="shared" si="14"/>
        <v>-</v>
      </c>
      <c r="AE25" s="13" t="str">
        <f t="shared" si="6"/>
        <v>-</v>
      </c>
      <c r="AF25" s="21" t="str">
        <f t="shared" si="15"/>
        <v/>
      </c>
      <c r="AG25" s="19"/>
      <c r="AH25" s="19">
        <v>17</v>
      </c>
      <c r="AI25" s="10" t="str">
        <f>IF(ISNONTEXT(個人種目申込書!B$68),"",個人種目申込書!B$68&amp;" "&amp;個人種目申込書!C$68)</f>
        <v/>
      </c>
      <c r="AJ25" s="10">
        <f>個人種目申込書!E$68</f>
        <v>0</v>
      </c>
      <c r="AK25" s="111" t="str">
        <f>個人種目申込書!G$68</f>
        <v/>
      </c>
      <c r="AL25" s="10"/>
    </row>
    <row r="26" spans="1:38" x14ac:dyDescent="0.25">
      <c r="A26" s="1">
        <v>18</v>
      </c>
      <c r="B26" s="12"/>
      <c r="C26" s="13"/>
      <c r="D26" s="6"/>
      <c r="E26" s="31"/>
      <c r="F26" s="20"/>
      <c r="G26" s="13"/>
      <c r="H26" s="13"/>
      <c r="I26" s="13"/>
      <c r="J26" s="13"/>
      <c r="K26" s="68">
        <f t="shared" si="7"/>
        <v>0</v>
      </c>
      <c r="L26" s="21" t="str">
        <f t="shared" si="0"/>
        <v/>
      </c>
      <c r="M26" s="69" t="str">
        <f t="shared" si="8"/>
        <v>-</v>
      </c>
      <c r="N26" s="63"/>
      <c r="O26" s="64"/>
      <c r="P26" s="65"/>
      <c r="Q26" s="7" t="str">
        <f t="shared" si="20"/>
        <v/>
      </c>
      <c r="R26" s="7" t="str">
        <f t="shared" si="21"/>
        <v/>
      </c>
      <c r="S26" s="7" t="str">
        <f t="shared" si="22"/>
        <v/>
      </c>
      <c r="T26" s="7" t="str">
        <f t="shared" si="23"/>
        <v/>
      </c>
      <c r="U26" s="7" t="str">
        <f t="shared" si="16"/>
        <v/>
      </c>
      <c r="V26" s="7" t="str">
        <f t="shared" si="17"/>
        <v/>
      </c>
      <c r="W26" s="7" t="str">
        <f t="shared" si="18"/>
        <v/>
      </c>
      <c r="X26" s="7" t="str">
        <f t="shared" si="19"/>
        <v/>
      </c>
      <c r="Y26" s="7">
        <f t="shared" si="9"/>
        <v>0</v>
      </c>
      <c r="Z26" s="13">
        <f t="shared" si="10"/>
        <v>0</v>
      </c>
      <c r="AA26" s="13">
        <f t="shared" si="11"/>
        <v>0</v>
      </c>
      <c r="AB26" s="13" t="str">
        <f t="shared" si="12"/>
        <v>-</v>
      </c>
      <c r="AC26" s="13" t="str">
        <f t="shared" si="13"/>
        <v>-</v>
      </c>
      <c r="AD26" s="13" t="str">
        <f t="shared" si="14"/>
        <v>-</v>
      </c>
      <c r="AE26" s="13" t="str">
        <f t="shared" si="6"/>
        <v>-</v>
      </c>
      <c r="AF26" s="21" t="str">
        <f t="shared" si="15"/>
        <v/>
      </c>
      <c r="AG26" s="19"/>
      <c r="AH26" s="19">
        <v>18</v>
      </c>
      <c r="AI26" s="10" t="str">
        <f>IF(ISNONTEXT(個人種目申込書!B$71),"",個人種目申込書!B$71&amp;" "&amp;個人種目申込書!C$71)</f>
        <v/>
      </c>
      <c r="AJ26" s="10">
        <f>個人種目申込書!E$71</f>
        <v>0</v>
      </c>
      <c r="AK26" s="111" t="str">
        <f>個人種目申込書!G$71</f>
        <v/>
      </c>
      <c r="AL26" s="10"/>
    </row>
    <row r="27" spans="1:38" x14ac:dyDescent="0.25">
      <c r="A27" s="1">
        <v>19</v>
      </c>
      <c r="B27" s="12"/>
      <c r="C27" s="13"/>
      <c r="D27" s="6"/>
      <c r="E27" s="31"/>
      <c r="F27" s="20"/>
      <c r="G27" s="13"/>
      <c r="H27" s="13"/>
      <c r="I27" s="13"/>
      <c r="J27" s="13"/>
      <c r="K27" s="68">
        <f t="shared" si="7"/>
        <v>0</v>
      </c>
      <c r="L27" s="21" t="str">
        <f t="shared" si="0"/>
        <v/>
      </c>
      <c r="M27" s="69" t="str">
        <f t="shared" si="8"/>
        <v>-</v>
      </c>
      <c r="N27" s="63"/>
      <c r="O27" s="64"/>
      <c r="P27" s="65"/>
      <c r="Q27" s="7" t="str">
        <f t="shared" si="20"/>
        <v/>
      </c>
      <c r="R27" s="7" t="str">
        <f t="shared" si="21"/>
        <v/>
      </c>
      <c r="S27" s="7" t="str">
        <f t="shared" si="22"/>
        <v/>
      </c>
      <c r="T27" s="7" t="str">
        <f t="shared" si="23"/>
        <v/>
      </c>
      <c r="U27" s="7" t="str">
        <f t="shared" si="16"/>
        <v/>
      </c>
      <c r="V27" s="7" t="str">
        <f t="shared" si="17"/>
        <v/>
      </c>
      <c r="W27" s="7" t="str">
        <f t="shared" si="18"/>
        <v/>
      </c>
      <c r="X27" s="7" t="str">
        <f t="shared" si="19"/>
        <v/>
      </c>
      <c r="Y27" s="7">
        <f t="shared" si="9"/>
        <v>0</v>
      </c>
      <c r="Z27" s="13">
        <f t="shared" si="10"/>
        <v>0</v>
      </c>
      <c r="AA27" s="13">
        <f t="shared" si="11"/>
        <v>0</v>
      </c>
      <c r="AB27" s="13" t="str">
        <f t="shared" si="12"/>
        <v>-</v>
      </c>
      <c r="AC27" s="13" t="str">
        <f t="shared" si="13"/>
        <v>-</v>
      </c>
      <c r="AD27" s="13" t="str">
        <f t="shared" si="14"/>
        <v>-</v>
      </c>
      <c r="AE27" s="13" t="str">
        <f t="shared" si="6"/>
        <v>-</v>
      </c>
      <c r="AF27" s="21" t="str">
        <f t="shared" si="15"/>
        <v/>
      </c>
      <c r="AG27" s="19"/>
      <c r="AH27" s="19">
        <v>19</v>
      </c>
      <c r="AI27" s="10" t="str">
        <f>IF(ISNONTEXT(個人種目申込書!B$74),"",個人種目申込書!B$74&amp;" "&amp;個人種目申込書!C$74)</f>
        <v/>
      </c>
      <c r="AJ27" s="10">
        <f>個人種目申込書!E$74</f>
        <v>0</v>
      </c>
      <c r="AK27" s="111" t="str">
        <f>個人種目申込書!G$74</f>
        <v/>
      </c>
      <c r="AL27" s="10"/>
    </row>
    <row r="28" spans="1:38" x14ac:dyDescent="0.25">
      <c r="A28" s="1">
        <v>20</v>
      </c>
      <c r="B28" s="12"/>
      <c r="C28" s="13"/>
      <c r="D28" s="6"/>
      <c r="E28" s="31"/>
      <c r="F28" s="20"/>
      <c r="G28" s="13"/>
      <c r="H28" s="13"/>
      <c r="I28" s="13"/>
      <c r="J28" s="13"/>
      <c r="K28" s="68">
        <f t="shared" si="7"/>
        <v>0</v>
      </c>
      <c r="L28" s="21" t="str">
        <f t="shared" si="0"/>
        <v/>
      </c>
      <c r="M28" s="69" t="str">
        <f t="shared" si="8"/>
        <v>-</v>
      </c>
      <c r="N28" s="63"/>
      <c r="O28" s="64"/>
      <c r="P28" s="65"/>
      <c r="Q28" s="7" t="str">
        <f t="shared" si="20"/>
        <v/>
      </c>
      <c r="R28" s="7" t="str">
        <f t="shared" si="21"/>
        <v/>
      </c>
      <c r="S28" s="7" t="str">
        <f t="shared" si="22"/>
        <v/>
      </c>
      <c r="T28" s="7" t="str">
        <f t="shared" si="23"/>
        <v/>
      </c>
      <c r="U28" s="7" t="str">
        <f t="shared" si="16"/>
        <v/>
      </c>
      <c r="V28" s="7" t="str">
        <f t="shared" si="17"/>
        <v/>
      </c>
      <c r="W28" s="7" t="str">
        <f t="shared" si="18"/>
        <v/>
      </c>
      <c r="X28" s="7" t="str">
        <f t="shared" si="19"/>
        <v/>
      </c>
      <c r="Y28" s="7">
        <f t="shared" si="9"/>
        <v>0</v>
      </c>
      <c r="Z28" s="13">
        <f t="shared" si="10"/>
        <v>0</v>
      </c>
      <c r="AA28" s="13">
        <f t="shared" si="11"/>
        <v>0</v>
      </c>
      <c r="AB28" s="13" t="str">
        <f t="shared" si="12"/>
        <v>-</v>
      </c>
      <c r="AC28" s="13" t="str">
        <f t="shared" si="13"/>
        <v>-</v>
      </c>
      <c r="AD28" s="13" t="str">
        <f t="shared" si="14"/>
        <v>-</v>
      </c>
      <c r="AE28" s="13" t="str">
        <f t="shared" si="6"/>
        <v>-</v>
      </c>
      <c r="AF28" s="21" t="str">
        <f t="shared" si="15"/>
        <v/>
      </c>
      <c r="AG28" s="19"/>
      <c r="AH28" s="19">
        <v>20</v>
      </c>
      <c r="AI28" s="10" t="str">
        <f>IF(ISNONTEXT(個人種目申込書!B$77),"",個人種目申込書!B$77&amp;" "&amp;個人種目申込書!C$77)</f>
        <v/>
      </c>
      <c r="AJ28" s="10">
        <f>個人種目申込書!E$77</f>
        <v>0</v>
      </c>
      <c r="AK28" s="111" t="str">
        <f>個人種目申込書!G$77</f>
        <v/>
      </c>
      <c r="AL28" s="10"/>
    </row>
    <row r="29" spans="1:38" x14ac:dyDescent="0.25">
      <c r="A29" s="1">
        <v>21</v>
      </c>
      <c r="B29" s="12"/>
      <c r="C29" s="13"/>
      <c r="D29" s="6"/>
      <c r="E29" s="31"/>
      <c r="F29" s="20"/>
      <c r="G29" s="13"/>
      <c r="H29" s="13"/>
      <c r="I29" s="13"/>
      <c r="J29" s="13"/>
      <c r="K29" s="68">
        <f t="shared" si="7"/>
        <v>0</v>
      </c>
      <c r="L29" s="21" t="str">
        <f t="shared" si="0"/>
        <v/>
      </c>
      <c r="M29" s="69" t="str">
        <f t="shared" si="8"/>
        <v>-</v>
      </c>
      <c r="N29" s="63"/>
      <c r="O29" s="64"/>
      <c r="P29" s="65"/>
      <c r="Q29" s="7" t="str">
        <f t="shared" si="20"/>
        <v/>
      </c>
      <c r="R29" s="7" t="str">
        <f t="shared" si="21"/>
        <v/>
      </c>
      <c r="S29" s="7" t="str">
        <f t="shared" si="22"/>
        <v/>
      </c>
      <c r="T29" s="7" t="str">
        <f t="shared" si="23"/>
        <v/>
      </c>
      <c r="U29" s="7" t="str">
        <f t="shared" si="16"/>
        <v/>
      </c>
      <c r="V29" s="7" t="str">
        <f t="shared" si="17"/>
        <v/>
      </c>
      <c r="W29" s="7" t="str">
        <f t="shared" si="18"/>
        <v/>
      </c>
      <c r="X29" s="7" t="str">
        <f t="shared" si="19"/>
        <v/>
      </c>
      <c r="Y29" s="7">
        <f t="shared" si="9"/>
        <v>0</v>
      </c>
      <c r="Z29" s="13">
        <f t="shared" si="10"/>
        <v>0</v>
      </c>
      <c r="AA29" s="13">
        <f t="shared" si="11"/>
        <v>0</v>
      </c>
      <c r="AB29" s="13" t="str">
        <f t="shared" si="12"/>
        <v>-</v>
      </c>
      <c r="AC29" s="13" t="str">
        <f t="shared" si="13"/>
        <v>-</v>
      </c>
      <c r="AD29" s="13" t="str">
        <f t="shared" si="14"/>
        <v>-</v>
      </c>
      <c r="AE29" s="13" t="str">
        <f t="shared" si="6"/>
        <v>-</v>
      </c>
      <c r="AF29" s="21" t="str">
        <f t="shared" si="15"/>
        <v/>
      </c>
      <c r="AG29" s="19"/>
      <c r="AH29" s="19">
        <v>21</v>
      </c>
      <c r="AI29" s="10" t="str">
        <f>IF(ISNONTEXT(個人種目申込書!B$80),"",個人種目申込書!B$80&amp;" "&amp;個人種目申込書!C$80)</f>
        <v/>
      </c>
      <c r="AJ29" s="10">
        <f>個人種目申込書!E$80</f>
        <v>0</v>
      </c>
      <c r="AK29" s="111" t="str">
        <f>個人種目申込書!G$80</f>
        <v/>
      </c>
      <c r="AL29" s="10"/>
    </row>
    <row r="30" spans="1:38" x14ac:dyDescent="0.25">
      <c r="A30" s="1">
        <v>22</v>
      </c>
      <c r="B30" s="12"/>
      <c r="C30" s="13"/>
      <c r="D30" s="6"/>
      <c r="E30" s="31"/>
      <c r="F30" s="20"/>
      <c r="G30" s="13"/>
      <c r="H30" s="13"/>
      <c r="I30" s="13"/>
      <c r="J30" s="13"/>
      <c r="K30" s="68">
        <f t="shared" si="7"/>
        <v>0</v>
      </c>
      <c r="L30" s="21" t="str">
        <f t="shared" si="0"/>
        <v/>
      </c>
      <c r="M30" s="69" t="str">
        <f t="shared" si="8"/>
        <v>-</v>
      </c>
      <c r="N30" s="63"/>
      <c r="O30" s="64"/>
      <c r="P30" s="65"/>
      <c r="Q30" s="7" t="str">
        <f t="shared" si="20"/>
        <v/>
      </c>
      <c r="R30" s="7" t="str">
        <f t="shared" si="21"/>
        <v/>
      </c>
      <c r="S30" s="7" t="str">
        <f t="shared" si="22"/>
        <v/>
      </c>
      <c r="T30" s="7" t="str">
        <f t="shared" si="23"/>
        <v/>
      </c>
      <c r="U30" s="7" t="str">
        <f t="shared" si="16"/>
        <v/>
      </c>
      <c r="V30" s="7" t="str">
        <f t="shared" si="17"/>
        <v/>
      </c>
      <c r="W30" s="7" t="str">
        <f t="shared" si="18"/>
        <v/>
      </c>
      <c r="X30" s="7" t="str">
        <f t="shared" si="19"/>
        <v/>
      </c>
      <c r="Y30" s="7">
        <f t="shared" si="9"/>
        <v>0</v>
      </c>
      <c r="Z30" s="13">
        <f t="shared" si="10"/>
        <v>0</v>
      </c>
      <c r="AA30" s="13">
        <f t="shared" si="11"/>
        <v>0</v>
      </c>
      <c r="AB30" s="13" t="str">
        <f t="shared" si="12"/>
        <v>-</v>
      </c>
      <c r="AC30" s="13" t="str">
        <f t="shared" si="13"/>
        <v>-</v>
      </c>
      <c r="AD30" s="13" t="str">
        <f t="shared" si="14"/>
        <v>-</v>
      </c>
      <c r="AE30" s="13" t="str">
        <f t="shared" si="6"/>
        <v>-</v>
      </c>
      <c r="AF30" s="21" t="str">
        <f t="shared" si="15"/>
        <v/>
      </c>
      <c r="AG30" s="19"/>
      <c r="AH30" s="19">
        <v>22</v>
      </c>
      <c r="AI30" s="10" t="str">
        <f>IF(ISNONTEXT(個人種目申込書!B$83),"",個人種目申込書!B$83&amp;" "&amp;個人種目申込書!C$83)</f>
        <v/>
      </c>
      <c r="AJ30" s="10">
        <f>個人種目申込書!E$83</f>
        <v>0</v>
      </c>
      <c r="AK30" s="111" t="str">
        <f>個人種目申込書!G$83</f>
        <v/>
      </c>
      <c r="AL30" s="10"/>
    </row>
    <row r="31" spans="1:38" x14ac:dyDescent="0.25">
      <c r="A31" s="1">
        <v>23</v>
      </c>
      <c r="B31" s="12"/>
      <c r="C31" s="13"/>
      <c r="D31" s="6"/>
      <c r="E31" s="31"/>
      <c r="F31" s="20"/>
      <c r="G31" s="13"/>
      <c r="H31" s="13"/>
      <c r="I31" s="13"/>
      <c r="J31" s="13"/>
      <c r="K31" s="68">
        <f t="shared" si="7"/>
        <v>0</v>
      </c>
      <c r="L31" s="21" t="str">
        <f t="shared" si="0"/>
        <v/>
      </c>
      <c r="M31" s="69" t="str">
        <f t="shared" si="8"/>
        <v>-</v>
      </c>
      <c r="N31" s="63"/>
      <c r="O31" s="64"/>
      <c r="P31" s="65"/>
      <c r="Q31" s="7" t="str">
        <f t="shared" si="20"/>
        <v/>
      </c>
      <c r="R31" s="7" t="str">
        <f t="shared" si="21"/>
        <v/>
      </c>
      <c r="S31" s="7" t="str">
        <f t="shared" si="22"/>
        <v/>
      </c>
      <c r="T31" s="7" t="str">
        <f t="shared" si="23"/>
        <v/>
      </c>
      <c r="U31" s="7" t="str">
        <f t="shared" si="16"/>
        <v/>
      </c>
      <c r="V31" s="7" t="str">
        <f t="shared" si="17"/>
        <v/>
      </c>
      <c r="W31" s="7" t="str">
        <f t="shared" si="18"/>
        <v/>
      </c>
      <c r="X31" s="7" t="str">
        <f t="shared" si="19"/>
        <v/>
      </c>
      <c r="Y31" s="7">
        <f t="shared" si="9"/>
        <v>0</v>
      </c>
      <c r="Z31" s="13">
        <f t="shared" si="10"/>
        <v>0</v>
      </c>
      <c r="AA31" s="13">
        <f t="shared" si="11"/>
        <v>0</v>
      </c>
      <c r="AB31" s="13" t="str">
        <f t="shared" si="12"/>
        <v>-</v>
      </c>
      <c r="AC31" s="13" t="str">
        <f t="shared" si="13"/>
        <v>-</v>
      </c>
      <c r="AD31" s="13" t="str">
        <f t="shared" si="14"/>
        <v>-</v>
      </c>
      <c r="AE31" s="13" t="str">
        <f t="shared" si="6"/>
        <v>-</v>
      </c>
      <c r="AF31" s="21" t="str">
        <f t="shared" si="15"/>
        <v/>
      </c>
      <c r="AG31" s="19"/>
      <c r="AH31" s="19">
        <v>23</v>
      </c>
      <c r="AI31" s="10" t="str">
        <f>IF(ISNONTEXT(個人種目申込書!B$86),"",個人種目申込書!B$86&amp;" "&amp;個人種目申込書!C$86)</f>
        <v/>
      </c>
      <c r="AJ31" s="10">
        <f>個人種目申込書!E$86</f>
        <v>0</v>
      </c>
      <c r="AK31" s="111" t="str">
        <f>個人種目申込書!G$86</f>
        <v/>
      </c>
      <c r="AL31" s="10"/>
    </row>
    <row r="32" spans="1:38" x14ac:dyDescent="0.25">
      <c r="A32" s="1">
        <v>24</v>
      </c>
      <c r="B32" s="12"/>
      <c r="C32" s="13"/>
      <c r="D32" s="6"/>
      <c r="E32" s="31"/>
      <c r="F32" s="20"/>
      <c r="G32" s="13"/>
      <c r="H32" s="13"/>
      <c r="I32" s="13"/>
      <c r="J32" s="13"/>
      <c r="K32" s="68">
        <f t="shared" si="7"/>
        <v>0</v>
      </c>
      <c r="L32" s="21" t="str">
        <f t="shared" si="0"/>
        <v/>
      </c>
      <c r="M32" s="69" t="str">
        <f t="shared" si="8"/>
        <v>-</v>
      </c>
      <c r="N32" s="63"/>
      <c r="O32" s="64"/>
      <c r="P32" s="65"/>
      <c r="Q32" s="7" t="str">
        <f t="shared" si="20"/>
        <v/>
      </c>
      <c r="R32" s="7" t="str">
        <f t="shared" si="21"/>
        <v/>
      </c>
      <c r="S32" s="7" t="str">
        <f t="shared" si="22"/>
        <v/>
      </c>
      <c r="T32" s="7" t="str">
        <f t="shared" si="23"/>
        <v/>
      </c>
      <c r="U32" s="7" t="str">
        <f t="shared" si="16"/>
        <v/>
      </c>
      <c r="V32" s="7" t="str">
        <f t="shared" si="17"/>
        <v/>
      </c>
      <c r="W32" s="7" t="str">
        <f t="shared" si="18"/>
        <v/>
      </c>
      <c r="X32" s="7" t="str">
        <f t="shared" si="19"/>
        <v/>
      </c>
      <c r="Y32" s="7">
        <f t="shared" si="9"/>
        <v>0</v>
      </c>
      <c r="Z32" s="13">
        <f t="shared" si="10"/>
        <v>0</v>
      </c>
      <c r="AA32" s="13">
        <f t="shared" si="11"/>
        <v>0</v>
      </c>
      <c r="AB32" s="13" t="str">
        <f t="shared" si="12"/>
        <v>-</v>
      </c>
      <c r="AC32" s="13" t="str">
        <f t="shared" si="13"/>
        <v>-</v>
      </c>
      <c r="AD32" s="13" t="str">
        <f t="shared" si="14"/>
        <v>-</v>
      </c>
      <c r="AE32" s="13" t="str">
        <f t="shared" si="6"/>
        <v>-</v>
      </c>
      <c r="AF32" s="21" t="str">
        <f t="shared" si="15"/>
        <v/>
      </c>
      <c r="AG32" s="19"/>
      <c r="AH32" s="19">
        <v>24</v>
      </c>
      <c r="AI32" s="10" t="str">
        <f>IF(ISNONTEXT(個人種目申込書!B$89),"",個人種目申込書!B$89&amp;" "&amp;個人種目申込書!C$89)</f>
        <v/>
      </c>
      <c r="AJ32" s="10">
        <f>個人種目申込書!E$89</f>
        <v>0</v>
      </c>
      <c r="AK32" s="111" t="str">
        <f>個人種目申込書!G$89</f>
        <v/>
      </c>
      <c r="AL32" s="10"/>
    </row>
    <row r="33" spans="1:38" x14ac:dyDescent="0.25">
      <c r="A33" s="1">
        <v>25</v>
      </c>
      <c r="B33" s="12"/>
      <c r="C33" s="13"/>
      <c r="D33" s="6"/>
      <c r="E33" s="31"/>
      <c r="F33" s="20"/>
      <c r="G33" s="13"/>
      <c r="H33" s="13"/>
      <c r="I33" s="13"/>
      <c r="J33" s="13"/>
      <c r="K33" s="68">
        <f t="shared" si="7"/>
        <v>0</v>
      </c>
      <c r="L33" s="21" t="str">
        <f t="shared" si="0"/>
        <v/>
      </c>
      <c r="M33" s="69" t="str">
        <f t="shared" si="8"/>
        <v>-</v>
      </c>
      <c r="N33" s="63"/>
      <c r="O33" s="64"/>
      <c r="P33" s="65"/>
      <c r="Q33" s="7" t="str">
        <f t="shared" si="20"/>
        <v/>
      </c>
      <c r="R33" s="7" t="str">
        <f t="shared" si="21"/>
        <v/>
      </c>
      <c r="S33" s="7" t="str">
        <f t="shared" si="22"/>
        <v/>
      </c>
      <c r="T33" s="7" t="str">
        <f t="shared" si="23"/>
        <v/>
      </c>
      <c r="U33" s="7" t="str">
        <f t="shared" si="16"/>
        <v/>
      </c>
      <c r="V33" s="7" t="str">
        <f t="shared" si="17"/>
        <v/>
      </c>
      <c r="W33" s="7" t="str">
        <f t="shared" si="18"/>
        <v/>
      </c>
      <c r="X33" s="7" t="str">
        <f t="shared" si="19"/>
        <v/>
      </c>
      <c r="Y33" s="7">
        <f t="shared" si="9"/>
        <v>0</v>
      </c>
      <c r="Z33" s="13">
        <f t="shared" si="10"/>
        <v>0</v>
      </c>
      <c r="AA33" s="13">
        <f t="shared" si="11"/>
        <v>0</v>
      </c>
      <c r="AB33" s="13" t="str">
        <f t="shared" si="12"/>
        <v>-</v>
      </c>
      <c r="AC33" s="13" t="str">
        <f t="shared" si="13"/>
        <v>-</v>
      </c>
      <c r="AD33" s="13" t="str">
        <f t="shared" si="14"/>
        <v>-</v>
      </c>
      <c r="AE33" s="13" t="str">
        <f t="shared" si="6"/>
        <v>-</v>
      </c>
      <c r="AF33" s="21" t="str">
        <f t="shared" si="15"/>
        <v/>
      </c>
      <c r="AG33" s="19"/>
      <c r="AH33" s="19">
        <v>25</v>
      </c>
      <c r="AI33" s="10" t="str">
        <f>IF(ISNONTEXT(個人種目申込書!B$92),"",個人種目申込書!B$92&amp;" "&amp;個人種目申込書!C$92)</f>
        <v/>
      </c>
      <c r="AJ33" s="10">
        <f>個人種目申込書!E$92</f>
        <v>0</v>
      </c>
      <c r="AK33" s="111" t="str">
        <f>個人種目申込書!G$92</f>
        <v/>
      </c>
      <c r="AL33" s="10"/>
    </row>
    <row r="34" spans="1:38" x14ac:dyDescent="0.25">
      <c r="A34" s="1">
        <v>26</v>
      </c>
      <c r="B34" s="12"/>
      <c r="C34" s="13"/>
      <c r="D34" s="6"/>
      <c r="E34" s="31"/>
      <c r="F34" s="20"/>
      <c r="G34" s="13"/>
      <c r="H34" s="13"/>
      <c r="I34" s="13"/>
      <c r="J34" s="13"/>
      <c r="K34" s="68">
        <f t="shared" si="7"/>
        <v>0</v>
      </c>
      <c r="L34" s="21" t="str">
        <f t="shared" si="0"/>
        <v/>
      </c>
      <c r="M34" s="69" t="str">
        <f t="shared" si="8"/>
        <v>-</v>
      </c>
      <c r="N34" s="63"/>
      <c r="O34" s="64"/>
      <c r="P34" s="65"/>
      <c r="Q34" s="7" t="str">
        <f t="shared" si="20"/>
        <v/>
      </c>
      <c r="R34" s="7" t="str">
        <f t="shared" si="21"/>
        <v/>
      </c>
      <c r="S34" s="7" t="str">
        <f t="shared" si="22"/>
        <v/>
      </c>
      <c r="T34" s="7" t="str">
        <f t="shared" si="23"/>
        <v/>
      </c>
      <c r="U34" s="7" t="str">
        <f t="shared" si="16"/>
        <v/>
      </c>
      <c r="V34" s="7" t="str">
        <f t="shared" si="17"/>
        <v/>
      </c>
      <c r="W34" s="7" t="str">
        <f t="shared" si="18"/>
        <v/>
      </c>
      <c r="X34" s="7" t="str">
        <f t="shared" si="19"/>
        <v/>
      </c>
      <c r="Y34" s="7">
        <f t="shared" si="9"/>
        <v>0</v>
      </c>
      <c r="Z34" s="13">
        <f t="shared" si="10"/>
        <v>0</v>
      </c>
      <c r="AA34" s="13">
        <f t="shared" si="11"/>
        <v>0</v>
      </c>
      <c r="AB34" s="13" t="str">
        <f t="shared" si="12"/>
        <v>-</v>
      </c>
      <c r="AC34" s="13" t="str">
        <f t="shared" si="13"/>
        <v>-</v>
      </c>
      <c r="AD34" s="13" t="str">
        <f t="shared" si="14"/>
        <v>-</v>
      </c>
      <c r="AE34" s="13" t="str">
        <f t="shared" si="6"/>
        <v>-</v>
      </c>
      <c r="AF34" s="21" t="str">
        <f t="shared" si="15"/>
        <v/>
      </c>
      <c r="AG34" s="19"/>
      <c r="AH34" s="19">
        <v>26</v>
      </c>
      <c r="AI34" s="10" t="str">
        <f>IF(ISNONTEXT(個人種目申込書!B$95),"",個人種目申込書!B$95&amp;" "&amp;個人種目申込書!C$95)</f>
        <v/>
      </c>
      <c r="AJ34" s="10">
        <f>個人種目申込書!E$95</f>
        <v>0</v>
      </c>
      <c r="AK34" s="111" t="str">
        <f>個人種目申込書!G$95</f>
        <v/>
      </c>
      <c r="AL34" s="10"/>
    </row>
    <row r="35" spans="1:38" x14ac:dyDescent="0.25">
      <c r="A35" s="1">
        <v>27</v>
      </c>
      <c r="B35" s="12"/>
      <c r="C35" s="13"/>
      <c r="D35" s="6"/>
      <c r="E35" s="31"/>
      <c r="F35" s="20"/>
      <c r="G35" s="13"/>
      <c r="H35" s="13"/>
      <c r="I35" s="13"/>
      <c r="J35" s="13"/>
      <c r="K35" s="68">
        <f t="shared" si="7"/>
        <v>0</v>
      </c>
      <c r="L35" s="21" t="str">
        <f t="shared" si="0"/>
        <v/>
      </c>
      <c r="M35" s="69" t="str">
        <f t="shared" si="8"/>
        <v>-</v>
      </c>
      <c r="N35" s="63"/>
      <c r="O35" s="64"/>
      <c r="P35" s="65"/>
      <c r="Q35" s="7" t="str">
        <f t="shared" si="20"/>
        <v/>
      </c>
      <c r="R35" s="7" t="str">
        <f t="shared" si="21"/>
        <v/>
      </c>
      <c r="S35" s="7" t="str">
        <f t="shared" si="22"/>
        <v/>
      </c>
      <c r="T35" s="7" t="str">
        <f t="shared" si="23"/>
        <v/>
      </c>
      <c r="U35" s="7" t="str">
        <f t="shared" si="16"/>
        <v/>
      </c>
      <c r="V35" s="7" t="str">
        <f t="shared" si="17"/>
        <v/>
      </c>
      <c r="W35" s="7" t="str">
        <f t="shared" si="18"/>
        <v/>
      </c>
      <c r="X35" s="7" t="str">
        <f t="shared" si="19"/>
        <v/>
      </c>
      <c r="Y35" s="7">
        <f t="shared" si="9"/>
        <v>0</v>
      </c>
      <c r="Z35" s="13">
        <f t="shared" si="10"/>
        <v>0</v>
      </c>
      <c r="AA35" s="13">
        <f t="shared" si="11"/>
        <v>0</v>
      </c>
      <c r="AB35" s="13" t="str">
        <f t="shared" si="12"/>
        <v>-</v>
      </c>
      <c r="AC35" s="13" t="str">
        <f t="shared" si="13"/>
        <v>-</v>
      </c>
      <c r="AD35" s="13" t="str">
        <f t="shared" si="14"/>
        <v>-</v>
      </c>
      <c r="AE35" s="13" t="str">
        <f t="shared" si="6"/>
        <v>-</v>
      </c>
      <c r="AF35" s="21" t="str">
        <f t="shared" si="15"/>
        <v/>
      </c>
      <c r="AG35" s="19"/>
      <c r="AH35" s="19">
        <v>27</v>
      </c>
      <c r="AI35" s="10" t="str">
        <f>IF(ISNONTEXT(個人種目申込書!B$98),"",個人種目申込書!B$98&amp;" "&amp;個人種目申込書!C$98)</f>
        <v/>
      </c>
      <c r="AJ35" s="10">
        <f>個人種目申込書!E$98</f>
        <v>0</v>
      </c>
      <c r="AK35" s="111" t="str">
        <f>個人種目申込書!G$98</f>
        <v/>
      </c>
      <c r="AL35" s="10"/>
    </row>
    <row r="36" spans="1:38" x14ac:dyDescent="0.25">
      <c r="A36" s="1">
        <v>28</v>
      </c>
      <c r="B36" s="12"/>
      <c r="C36" s="13"/>
      <c r="D36" s="6"/>
      <c r="E36" s="31"/>
      <c r="F36" s="20"/>
      <c r="G36" s="13"/>
      <c r="H36" s="13"/>
      <c r="I36" s="13"/>
      <c r="J36" s="13"/>
      <c r="K36" s="68">
        <f t="shared" si="7"/>
        <v>0</v>
      </c>
      <c r="L36" s="21" t="str">
        <f t="shared" si="0"/>
        <v/>
      </c>
      <c r="M36" s="69" t="str">
        <f t="shared" si="8"/>
        <v>-</v>
      </c>
      <c r="N36" s="63"/>
      <c r="O36" s="64"/>
      <c r="P36" s="65"/>
      <c r="Q36" s="7" t="str">
        <f t="shared" si="20"/>
        <v/>
      </c>
      <c r="R36" s="7" t="str">
        <f t="shared" si="21"/>
        <v/>
      </c>
      <c r="S36" s="7" t="str">
        <f t="shared" si="22"/>
        <v/>
      </c>
      <c r="T36" s="7" t="str">
        <f t="shared" si="23"/>
        <v/>
      </c>
      <c r="U36" s="7" t="str">
        <f t="shared" si="16"/>
        <v/>
      </c>
      <c r="V36" s="7" t="str">
        <f t="shared" si="17"/>
        <v/>
      </c>
      <c r="W36" s="7" t="str">
        <f t="shared" si="18"/>
        <v/>
      </c>
      <c r="X36" s="7" t="str">
        <f t="shared" si="19"/>
        <v/>
      </c>
      <c r="Y36" s="7">
        <f t="shared" si="9"/>
        <v>0</v>
      </c>
      <c r="Z36" s="13">
        <f t="shared" si="10"/>
        <v>0</v>
      </c>
      <c r="AA36" s="13">
        <f t="shared" si="11"/>
        <v>0</v>
      </c>
      <c r="AB36" s="13" t="str">
        <f t="shared" si="12"/>
        <v>-</v>
      </c>
      <c r="AC36" s="13" t="str">
        <f t="shared" si="13"/>
        <v>-</v>
      </c>
      <c r="AD36" s="13" t="str">
        <f t="shared" si="14"/>
        <v>-</v>
      </c>
      <c r="AE36" s="13" t="str">
        <f t="shared" si="6"/>
        <v>-</v>
      </c>
      <c r="AF36" s="21" t="str">
        <f t="shared" si="15"/>
        <v/>
      </c>
      <c r="AG36" s="19"/>
      <c r="AH36" s="19">
        <v>28</v>
      </c>
      <c r="AI36" s="10" t="str">
        <f>IF(ISNONTEXT(個人種目申込書!B$101),"",個人種目申込書!B$101&amp;" "&amp;個人種目申込書!C$101)</f>
        <v/>
      </c>
      <c r="AJ36" s="10">
        <f>個人種目申込書!E$101</f>
        <v>0</v>
      </c>
      <c r="AK36" s="111" t="str">
        <f>個人種目申込書!G$101</f>
        <v/>
      </c>
      <c r="AL36" s="10"/>
    </row>
    <row r="37" spans="1:38" x14ac:dyDescent="0.25">
      <c r="A37" s="1">
        <v>29</v>
      </c>
      <c r="B37" s="12"/>
      <c r="C37" s="13"/>
      <c r="D37" s="6"/>
      <c r="E37" s="31"/>
      <c r="F37" s="20"/>
      <c r="G37" s="13"/>
      <c r="H37" s="13"/>
      <c r="I37" s="13"/>
      <c r="J37" s="13"/>
      <c r="K37" s="68">
        <f t="shared" si="7"/>
        <v>0</v>
      </c>
      <c r="L37" s="21" t="str">
        <f t="shared" si="0"/>
        <v/>
      </c>
      <c r="M37" s="69" t="str">
        <f t="shared" si="8"/>
        <v>-</v>
      </c>
      <c r="N37" s="63"/>
      <c r="O37" s="64"/>
      <c r="P37" s="65"/>
      <c r="Q37" s="7" t="str">
        <f t="shared" si="20"/>
        <v/>
      </c>
      <c r="R37" s="7" t="str">
        <f t="shared" si="21"/>
        <v/>
      </c>
      <c r="S37" s="7" t="str">
        <f t="shared" si="22"/>
        <v/>
      </c>
      <c r="T37" s="7" t="str">
        <f t="shared" si="23"/>
        <v/>
      </c>
      <c r="U37" s="7" t="str">
        <f t="shared" si="16"/>
        <v/>
      </c>
      <c r="V37" s="7" t="str">
        <f t="shared" si="17"/>
        <v/>
      </c>
      <c r="W37" s="7" t="str">
        <f t="shared" si="18"/>
        <v/>
      </c>
      <c r="X37" s="7" t="str">
        <f t="shared" si="19"/>
        <v/>
      </c>
      <c r="Y37" s="7">
        <f t="shared" si="9"/>
        <v>0</v>
      </c>
      <c r="Z37" s="13">
        <f t="shared" si="10"/>
        <v>0</v>
      </c>
      <c r="AA37" s="13">
        <f t="shared" si="11"/>
        <v>0</v>
      </c>
      <c r="AB37" s="13" t="str">
        <f t="shared" si="12"/>
        <v>-</v>
      </c>
      <c r="AC37" s="13" t="str">
        <f t="shared" si="13"/>
        <v>-</v>
      </c>
      <c r="AD37" s="13" t="str">
        <f t="shared" si="14"/>
        <v>-</v>
      </c>
      <c r="AE37" s="13" t="str">
        <f t="shared" si="6"/>
        <v>-</v>
      </c>
      <c r="AF37" s="21" t="str">
        <f t="shared" si="15"/>
        <v/>
      </c>
      <c r="AG37" s="19"/>
      <c r="AH37" s="19">
        <v>29</v>
      </c>
      <c r="AI37" s="10" t="str">
        <f>IF(ISNONTEXT(個人種目申込書!B$104),"",個人種目申込書!B$104&amp;" "&amp;個人種目申込書!C$104)</f>
        <v/>
      </c>
      <c r="AJ37" s="10">
        <f>個人種目申込書!E$104</f>
        <v>0</v>
      </c>
      <c r="AK37" s="111" t="str">
        <f>個人種目申込書!G$104</f>
        <v/>
      </c>
      <c r="AL37" s="10"/>
    </row>
    <row r="38" spans="1:38" x14ac:dyDescent="0.25">
      <c r="A38" s="1">
        <v>30</v>
      </c>
      <c r="B38" s="12"/>
      <c r="C38" s="13"/>
      <c r="D38" s="6"/>
      <c r="E38" s="31"/>
      <c r="F38" s="20"/>
      <c r="G38" s="13"/>
      <c r="H38" s="13"/>
      <c r="I38" s="13"/>
      <c r="J38" s="13"/>
      <c r="K38" s="68">
        <f t="shared" si="7"/>
        <v>0</v>
      </c>
      <c r="L38" s="21" t="str">
        <f>IF(ISERROR(AF38),"",AF38)</f>
        <v/>
      </c>
      <c r="M38" s="69" t="str">
        <f t="shared" si="8"/>
        <v>-</v>
      </c>
      <c r="N38" s="63"/>
      <c r="O38" s="64"/>
      <c r="P38" s="65"/>
      <c r="Q38" s="7" t="str">
        <f>IF(ISERROR(VLOOKUP(G38,$AI$9:$AK$48,2,0)),"",VLOOKUP(G38,$AI$9:$AK$48,2,0))</f>
        <v/>
      </c>
      <c r="R38" s="7" t="str">
        <f t="shared" si="21"/>
        <v/>
      </c>
      <c r="S38" s="7" t="str">
        <f t="shared" si="22"/>
        <v/>
      </c>
      <c r="T38" s="7" t="str">
        <f t="shared" si="23"/>
        <v/>
      </c>
      <c r="U38" s="7" t="str">
        <f t="shared" si="16"/>
        <v/>
      </c>
      <c r="V38" s="7" t="str">
        <f t="shared" si="17"/>
        <v/>
      </c>
      <c r="W38" s="7" t="str">
        <f t="shared" si="18"/>
        <v/>
      </c>
      <c r="X38" s="7" t="str">
        <f t="shared" si="19"/>
        <v/>
      </c>
      <c r="Y38" s="7">
        <f t="shared" si="9"/>
        <v>0</v>
      </c>
      <c r="Z38" s="13">
        <f t="shared" si="10"/>
        <v>0</v>
      </c>
      <c r="AA38" s="13">
        <f t="shared" si="11"/>
        <v>0</v>
      </c>
      <c r="AB38" s="13" t="str">
        <f t="shared" si="12"/>
        <v>-</v>
      </c>
      <c r="AC38" s="13" t="str">
        <f t="shared" si="13"/>
        <v>-</v>
      </c>
      <c r="AD38" s="13" t="str">
        <f t="shared" si="14"/>
        <v>-</v>
      </c>
      <c r="AE38" s="13" t="str">
        <f>IF(C38="混合",IF(Z38=2,IF(AA38=2,"-","NG"),"NG"),IF(C38="男子",IF(Z38=4,"-","NG"),IF(C38="女子",IF(AA38=4,"-","NG"),"-")))</f>
        <v>-</v>
      </c>
      <c r="AF38" s="21" t="str">
        <f t="shared" si="15"/>
        <v/>
      </c>
      <c r="AG38" s="19"/>
      <c r="AH38" s="19">
        <v>30</v>
      </c>
      <c r="AI38" s="10" t="str">
        <f>IF(ISNONTEXT(個人種目申込書!B$107),"",個人種目申込書!B$107&amp;" "&amp;個人種目申込書!C$107)</f>
        <v/>
      </c>
      <c r="AJ38" s="10">
        <f>個人種目申込書!E$107</f>
        <v>0</v>
      </c>
      <c r="AK38" s="111" t="str">
        <f>個人種目申込書!G$107</f>
        <v/>
      </c>
      <c r="AL38" s="10"/>
    </row>
    <row r="39" spans="1:38" x14ac:dyDescent="0.25">
      <c r="AH39" s="19">
        <v>31</v>
      </c>
      <c r="AI39" s="10" t="str">
        <f>IF(ISNONTEXT(個人種目申込書!B$110),"",個人種目申込書!B$110&amp;" "&amp;個人種目申込書!C$110)</f>
        <v/>
      </c>
      <c r="AJ39">
        <f>個人種目申込書!E$110</f>
        <v>0</v>
      </c>
      <c r="AK39" s="112" t="str">
        <f>個人種目申込書!G$110</f>
        <v/>
      </c>
    </row>
    <row r="40" spans="1:38" x14ac:dyDescent="0.25">
      <c r="AH40" s="19">
        <v>32</v>
      </c>
      <c r="AI40" s="10" t="str">
        <f>IF(ISNONTEXT(個人種目申込書!B$113),"",個人種目申込書!B$113&amp;" "&amp;個人種目申込書!C$113)</f>
        <v/>
      </c>
      <c r="AJ40">
        <f>個人種目申込書!E$113</f>
        <v>0</v>
      </c>
      <c r="AK40" s="112" t="str">
        <f>個人種目申込書!G$113</f>
        <v/>
      </c>
    </row>
    <row r="41" spans="1:38" x14ac:dyDescent="0.25">
      <c r="AH41" s="19">
        <v>33</v>
      </c>
      <c r="AI41" s="10" t="str">
        <f>IF(ISNONTEXT(個人種目申込書!B$116),"",個人種目申込書!B$116&amp;" "&amp;個人種目申込書!C$116)</f>
        <v/>
      </c>
      <c r="AJ41">
        <f>個人種目申込書!E$116</f>
        <v>0</v>
      </c>
      <c r="AK41" s="112" t="str">
        <f>個人種目申込書!G$116</f>
        <v/>
      </c>
    </row>
    <row r="42" spans="1:38" x14ac:dyDescent="0.25">
      <c r="AH42" s="19">
        <v>34</v>
      </c>
      <c r="AI42" s="10" t="str">
        <f>IF(ISNONTEXT(個人種目申込書!B$119),"",個人種目申込書!B$119&amp;" "&amp;個人種目申込書!C$119)</f>
        <v/>
      </c>
      <c r="AJ42">
        <f>個人種目申込書!E$119</f>
        <v>0</v>
      </c>
      <c r="AK42" s="112" t="str">
        <f>個人種目申込書!G$119</f>
        <v/>
      </c>
    </row>
    <row r="43" spans="1:38" x14ac:dyDescent="0.25">
      <c r="AH43" s="19">
        <v>35</v>
      </c>
      <c r="AI43" s="10" t="str">
        <f>IF(ISNONTEXT(個人種目申込書!B$122),"",個人種目申込書!B$122&amp;" "&amp;個人種目申込書!C$122)</f>
        <v/>
      </c>
      <c r="AJ43">
        <f>個人種目申込書!E$122</f>
        <v>0</v>
      </c>
      <c r="AK43" s="112" t="str">
        <f>個人種目申込書!G$122</f>
        <v/>
      </c>
    </row>
    <row r="44" spans="1:38" x14ac:dyDescent="0.25">
      <c r="L44" s="64"/>
      <c r="AH44" s="19">
        <v>36</v>
      </c>
      <c r="AI44" s="10" t="str">
        <f>IF(ISNONTEXT(個人種目申込書!B$125),"",個人種目申込書!B$125&amp;" "&amp;個人種目申込書!C$125)</f>
        <v/>
      </c>
      <c r="AJ44">
        <f>個人種目申込書!E$125</f>
        <v>0</v>
      </c>
      <c r="AK44" s="112" t="str">
        <f>個人種目申込書!G$125</f>
        <v/>
      </c>
    </row>
    <row r="45" spans="1:38" x14ac:dyDescent="0.25">
      <c r="AH45" s="19">
        <v>37</v>
      </c>
      <c r="AI45" s="10" t="str">
        <f>IF(ISNONTEXT(個人種目申込書!B$128),"",個人種目申込書!B$128&amp;" "&amp;個人種目申込書!C$128)</f>
        <v/>
      </c>
      <c r="AJ45">
        <f>個人種目申込書!E$128</f>
        <v>0</v>
      </c>
      <c r="AK45" s="112" t="str">
        <f>個人種目申込書!G$128</f>
        <v/>
      </c>
    </row>
    <row r="46" spans="1:38" x14ac:dyDescent="0.25">
      <c r="AH46" s="19">
        <v>38</v>
      </c>
      <c r="AI46" s="10" t="str">
        <f>IF(ISNONTEXT(個人種目申込書!B$131),"",個人種目申込書!B$131&amp;" "&amp;個人種目申込書!C$131)</f>
        <v/>
      </c>
      <c r="AJ46">
        <f>個人種目申込書!E$131</f>
        <v>0</v>
      </c>
      <c r="AK46" s="112" t="str">
        <f>個人種目申込書!G$131</f>
        <v/>
      </c>
    </row>
    <row r="47" spans="1:38" x14ac:dyDescent="0.25">
      <c r="AH47" s="19">
        <v>39</v>
      </c>
      <c r="AI47" s="10" t="str">
        <f>IF(ISNONTEXT(個人種目申込書!B$134),"",個人種目申込書!B$134&amp;" "&amp;個人種目申込書!C$134)</f>
        <v/>
      </c>
      <c r="AJ47">
        <f>個人種目申込書!E$134</f>
        <v>0</v>
      </c>
      <c r="AK47" s="112" t="str">
        <f>個人種目申込書!G$134</f>
        <v/>
      </c>
    </row>
    <row r="48" spans="1:38" x14ac:dyDescent="0.25">
      <c r="AH48" s="19">
        <v>40</v>
      </c>
      <c r="AI48" s="10" t="str">
        <f>IF(ISNONTEXT(個人種目申込書!B$137),"",個人種目申込書!B$137&amp;" "&amp;個人種目申込書!C$137)</f>
        <v/>
      </c>
      <c r="AJ48">
        <f>個人種目申込書!E$137</f>
        <v>0</v>
      </c>
      <c r="AK48" s="112" t="str">
        <f>個人種目申込書!G$137</f>
        <v/>
      </c>
    </row>
    <row r="49" spans="35:35" x14ac:dyDescent="0.25">
      <c r="AI49" s="10"/>
    </row>
    <row r="50" spans="35:35" x14ac:dyDescent="0.25">
      <c r="AI50" s="10"/>
    </row>
    <row r="51" spans="35:35" x14ac:dyDescent="0.25">
      <c r="AI51" s="10"/>
    </row>
    <row r="52" spans="35:35" x14ac:dyDescent="0.25">
      <c r="AI52" s="10"/>
    </row>
    <row r="53" spans="35:35" x14ac:dyDescent="0.25">
      <c r="AI53" s="10"/>
    </row>
    <row r="54" spans="35:35" x14ac:dyDescent="0.25">
      <c r="AI54" s="10"/>
    </row>
    <row r="55" spans="35:35" x14ac:dyDescent="0.25">
      <c r="AI55" s="10"/>
    </row>
    <row r="56" spans="35:35" x14ac:dyDescent="0.25">
      <c r="AI56" s="10"/>
    </row>
    <row r="57" spans="35:35" x14ac:dyDescent="0.25">
      <c r="AI57" s="10"/>
    </row>
    <row r="58" spans="35:35" x14ac:dyDescent="0.25">
      <c r="AI58" s="10"/>
    </row>
    <row r="59" spans="35:35" x14ac:dyDescent="0.25">
      <c r="AI59" s="10"/>
    </row>
    <row r="60" spans="35:35" x14ac:dyDescent="0.25">
      <c r="AI60" s="10"/>
    </row>
  </sheetData>
  <sheetProtection password="DFE1" sheet="1" objects="1" scenarios="1" selectLockedCells="1"/>
  <mergeCells count="4">
    <mergeCell ref="B3:C3"/>
    <mergeCell ref="Z7:AA7"/>
    <mergeCell ref="Q8:T8"/>
    <mergeCell ref="U8:X8"/>
  </mergeCells>
  <phoneticPr fontId="1"/>
  <conditionalFormatting sqref="M9:P38">
    <cfRule type="cellIs" dxfId="0" priority="1" stopIfTrue="1" operator="equal">
      <formula>"NG"</formula>
    </cfRule>
  </conditionalFormatting>
  <dataValidations count="7">
    <dataValidation type="whole" imeMode="off" allowBlank="1" showInputMessage="1" showErrorMessage="1" sqref="Z9:AA38 AG10:AG38 AH10 AH12 AH14 AH16 AH18 AH20 AH22 AH24 AH26 AH28 AH30 AH32 AH34 AH36 AH38 AH40 AH42 AH44 AH46 AH48">
      <formula1>0</formula1>
      <formula2>50</formula2>
    </dataValidation>
    <dataValidation imeMode="off" allowBlank="1" showInputMessage="1" showErrorMessage="1" sqref="M9:P38 AG9:AH9 F9:F38 AB9:AE38 AH11 AH13 AH15 AH17 AH19 AH21 AH23 AH25 AH27 AH29 AH31 AH33 AH35 AH37 AH39 AH41 AH43 AH45 AH47"/>
    <dataValidation type="list" allowBlank="1" showInputMessage="1" showErrorMessage="1" sqref="D9:D38">
      <formula1>$AN$8:$AN$10</formula1>
    </dataValidation>
    <dataValidation type="list" allowBlank="1" showInputMessage="1" showErrorMessage="1" sqref="G9:J38">
      <formula1>$AI$8:$AI$48</formula1>
    </dataValidation>
    <dataValidation type="list" allowBlank="1" showInputMessage="1" showErrorMessage="1" sqref="C9:C38">
      <formula1>$AM$9:$AM$11</formula1>
    </dataValidation>
    <dataValidation imeMode="hiragana" allowBlank="1" showInputMessage="1" showErrorMessage="1" sqref="B9:B38"/>
    <dataValidation type="list" allowBlank="1" showInputMessage="1" showErrorMessage="1" sqref="E9:E38">
      <formula1>$AU$8:$AU$10</formula1>
    </dataValidation>
  </dataValidations>
  <pageMargins left="0.78740157480314965" right="0.78740157480314965" top="0.78740157480314965" bottom="0.78740157480314965" header="0.51181102362204722" footer="0.51181102362204722"/>
  <pageSetup paperSize="9" orientation="landscape" horizontalDpi="4294967294" verticalDpi="4294967292" r:id="rId1"/>
  <headerFooter alignWithMargins="0">
    <oddFooter>&amp;L&amp;F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申込注意事項</vt:lpstr>
      <vt:lpstr>個人種目申込書</vt:lpstr>
      <vt:lpstr>リレー申込書</vt:lpstr>
      <vt:lpstr>個人種目申込書!Print_Area</vt:lpstr>
      <vt:lpstr>個人種目申込書!Print_Titles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dc:creator>
  <cp:lastModifiedBy>坂口信一</cp:lastModifiedBy>
  <cp:lastPrinted>2016-10-21T12:17:02Z</cp:lastPrinted>
  <dcterms:created xsi:type="dcterms:W3CDTF">1997-01-08T22:48:59Z</dcterms:created>
  <dcterms:modified xsi:type="dcterms:W3CDTF">2016-10-21T12:17:28Z</dcterms:modified>
</cp:coreProperties>
</file>